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harts/chart8.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DieseArbeitsmappe" defaultThemeVersion="124226"/>
  <mc:AlternateContent xmlns:mc="http://schemas.openxmlformats.org/markup-compatibility/2006">
    <mc:Choice Requires="x15">
      <x15ac:absPath xmlns:x15ac="http://schemas.microsoft.com/office/spreadsheetml/2010/11/ac" url="https://linzagcloud-my.sharepoint.com/personal/a_neuhofer_linzag_at/Documents/Dokumente/4 - Entwicklungsprojekte/4 - Mobilitätsrechner/PV/"/>
    </mc:Choice>
  </mc:AlternateContent>
  <xr:revisionPtr revIDLastSave="489" documentId="13_ncr:1_{29D62AC1-8EB5-4246-B9A1-EE9660C57215}" xr6:coauthVersionLast="47" xr6:coauthVersionMax="47" xr10:uidLastSave="{EA62E678-C1E1-4FFB-A443-89AAEEACD53D}"/>
  <workbookProtection workbookAlgorithmName="SHA-512" workbookHashValue="KxMdaR6MJHUpkr4T/d3zQmLpOgEusHZNQqkZ1siVfX+gbFXR4Yjg2gCOxQu8uVUtpx9cluLyF+rkMjYspPF5zw==" workbookSaltValue="YuAX9WjBITB9DmZ/Ct1G3w==" workbookSpinCount="100000" lockStructure="1"/>
  <bookViews>
    <workbookView xWindow="-120" yWindow="-120" windowWidth="29040" windowHeight="15720" tabRatio="801" activeTab="2" xr2:uid="{00000000-000D-0000-FFFF-FFFF00000000}"/>
  </bookViews>
  <sheets>
    <sheet name="Aktualisierungen" sheetId="21" r:id="rId1"/>
    <sheet name="Erläuterungen" sheetId="20" r:id="rId2"/>
    <sheet name="Eingabe" sheetId="1" r:id="rId3"/>
    <sheet name="Ausrichtung" sheetId="17" r:id="rId4"/>
    <sheet name="Berechnungen" sheetId="6" r:id="rId5"/>
    <sheet name="Förderungen" sheetId="10" r:id="rId6"/>
    <sheet name="Wetterdaten" sheetId="9" state="hidden" r:id="rId7"/>
    <sheet name="PLZ-Zuordnung" sheetId="11" state="hidden" r:id="rId8"/>
    <sheet name="Strompreis" sheetId="19" state="hidden" r:id="rId9"/>
  </sheets>
  <externalReferences>
    <externalReference r:id="rId10"/>
  </externalReferences>
  <definedNames>
    <definedName name="_xlnm._FilterDatabase" localSheetId="3" hidden="1">Ausrichtung!#REF!</definedName>
    <definedName name="_xlnm._FilterDatabase" localSheetId="2" hidden="1">Eingabe!$C$171:$C$173</definedName>
    <definedName name="_xlnm._FilterDatabase" localSheetId="7" hidden="1">'PLZ-Zuordnung'!$A$2:$G$2460</definedName>
    <definedName name="_xlnm._FilterDatabase" localSheetId="8" hidden="1">Strompreis!#REF!</definedName>
    <definedName name="Anlagenleistung">Eingabe!$H$37</definedName>
    <definedName name="_xlnm.Print_Area" localSheetId="0">Aktualisierungen!$A$1:$I$58</definedName>
    <definedName name="_xlnm.Print_Area" localSheetId="3">Ausrichtung!$A$1:$P$53</definedName>
    <definedName name="_xlnm.Print_Area" localSheetId="4">Berechnungen!$A$1:$M$41</definedName>
    <definedName name="_xlnm.Print_Area" localSheetId="2">Eingabe!$A$1:$T$128</definedName>
    <definedName name="_xlnm.Print_Area" localSheetId="1">Erläuterungen!$A$1:$I$312</definedName>
    <definedName name="_xlnm.Print_Area" localSheetId="5">Förderungen!$A$1:$R$114,Förderungen!$S$1:$AN$42</definedName>
    <definedName name="_xlnm.Print_Area" localSheetId="7">'PLZ-Zuordnung'!$A$65536</definedName>
    <definedName name="_xlnm.Print_Area" localSheetId="8">Strompreis!$A$65536</definedName>
    <definedName name="_xlnm.Print_Area" localSheetId="6">Wetterdaten!$A$65536</definedName>
    <definedName name="EAGfoerderung">Eingabe!$AA$190</definedName>
    <definedName name="EAGfoerderungMax">Eingabe!$AB$190</definedName>
    <definedName name="EAGInvest">Eingabe!$C$172</definedName>
    <definedName name="GesamtkostenAnlage">Eingabe!$H$90</definedName>
    <definedName name="kWp">Eingabe!$H$37</definedName>
    <definedName name="Landesfoerderung">Eingabe!$C$174</definedName>
    <definedName name="modulKosten">Eingabe!$H$67</definedName>
    <definedName name="OLE_LINK1" localSheetId="0">Aktualisierungen!$D$21</definedName>
    <definedName name="OLE_LINK1" localSheetId="1">Erläuterungen!#REF!</definedName>
    <definedName name="OLE_LINK15" localSheetId="0">Aktualisierungen!$L$15</definedName>
    <definedName name="OLE_LINK17" localSheetId="5">Förderungen!$T$36</definedName>
    <definedName name="OLE_LINK27" localSheetId="0">Aktualisierungen!$B$13</definedName>
    <definedName name="OLE_LINK3" localSheetId="0">Aktualisierungen!$A$14</definedName>
    <definedName name="OLE_LINK3" localSheetId="1">Erläuterungen!$A$14</definedName>
    <definedName name="OLE_LINK38" localSheetId="1">Erläuterungen!$A$25</definedName>
    <definedName name="OLE_LINK4" localSheetId="1">Erläuterungen!$N$122</definedName>
    <definedName name="OLE_LINK42" localSheetId="1">Erläuterungen!$M$80</definedName>
    <definedName name="OLE_LINK44" localSheetId="1">Erläuterungen!$A$192</definedName>
    <definedName name="OLE_LINK51" localSheetId="1">Erläuterungen!$K$54</definedName>
    <definedName name="OLE_LINK8" localSheetId="1">Erläuterungen!$N$123</definedName>
    <definedName name="spezKosten">Eingabe!$H$87</definedName>
    <definedName name="Text">[1]Sprachmodul!$C$1:$L$186</definedName>
    <definedName name="wrKosten">Eingabe!$I$67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7" i="1" l="1"/>
  <c r="B124" i="10"/>
  <c r="H90" i="1"/>
  <c r="AB190" i="1" s="1"/>
  <c r="G92" i="1"/>
  <c r="AA190" i="1"/>
  <c r="C168" i="1"/>
  <c r="G9" i="10"/>
  <c r="G10" i="10"/>
  <c r="G11" i="10"/>
  <c r="G8" i="10"/>
  <c r="G20" i="10" s="1"/>
  <c r="C96" i="1"/>
  <c r="C85" i="1"/>
  <c r="AP10" i="10"/>
  <c r="AP9" i="10"/>
  <c r="I55" i="1"/>
  <c r="C11" i="10"/>
  <c r="C9" i="10"/>
  <c r="C10" i="10"/>
  <c r="C8" i="10"/>
  <c r="AD195" i="1" l="1"/>
  <c r="I67" i="1"/>
  <c r="AD196" i="1" s="1"/>
  <c r="G82" i="10"/>
  <c r="C34" i="10"/>
  <c r="C58" i="10" s="1"/>
  <c r="C72" i="10" s="1"/>
  <c r="C84" i="10" s="1"/>
  <c r="C96" i="10" s="1"/>
  <c r="C108" i="10" s="1"/>
  <c r="C21" i="10"/>
  <c r="C45" i="10" s="1"/>
  <c r="C32" i="10"/>
  <c r="C56" i="10" s="1"/>
  <c r="C70" i="10" s="1"/>
  <c r="C82" i="10" s="1"/>
  <c r="C94" i="10" s="1"/>
  <c r="C106" i="10" s="1"/>
  <c r="AD197" i="1" l="1"/>
  <c r="H92" i="1" s="1"/>
  <c r="G70" i="10"/>
  <c r="G56" i="10"/>
  <c r="G94" i="10"/>
  <c r="G32" i="10"/>
  <c r="G44" i="10"/>
  <c r="G106" i="10"/>
  <c r="C22" i="10"/>
  <c r="C46" i="10" s="1"/>
  <c r="C33" i="10"/>
  <c r="C57" i="10" s="1"/>
  <c r="C71" i="10" s="1"/>
  <c r="C83" i="10" s="1"/>
  <c r="C95" i="10" s="1"/>
  <c r="C107" i="10" s="1"/>
  <c r="C20" i="10"/>
  <c r="C44" i="10" s="1"/>
  <c r="H38" i="1"/>
  <c r="G83" i="10" l="1"/>
  <c r="G71" i="10"/>
  <c r="G45" i="10"/>
  <c r="G33" i="10"/>
  <c r="G107" i="10"/>
  <c r="G95" i="10"/>
  <c r="G57" i="10"/>
  <c r="G21" i="10"/>
  <c r="G46" i="10" l="1"/>
  <c r="G108" i="10"/>
  <c r="G34" i="10"/>
  <c r="G96" i="10"/>
  <c r="G72" i="10"/>
  <c r="G58" i="10"/>
  <c r="G84" i="10"/>
  <c r="C71" i="1"/>
  <c r="C35" i="10" l="1"/>
  <c r="C59" i="10" s="1"/>
  <c r="C73" i="10" s="1"/>
  <c r="C85" i="10" s="1"/>
  <c r="C97" i="10" s="1"/>
  <c r="C109" i="10" s="1"/>
  <c r="C23" i="10"/>
  <c r="C47" i="10" s="1"/>
  <c r="B100" i="10"/>
  <c r="B50" i="10" l="1"/>
  <c r="H64" i="1"/>
  <c r="V268" i="1"/>
  <c r="V269" i="1" s="1"/>
  <c r="V270" i="1" s="1"/>
  <c r="AA239" i="1"/>
  <c r="AA238" i="1"/>
  <c r="AA237" i="1"/>
  <c r="AA236" i="1"/>
  <c r="Z237" i="1"/>
  <c r="Z238" i="1"/>
  <c r="Z239" i="1"/>
  <c r="Z236" i="1"/>
  <c r="X236" i="1"/>
  <c r="X237" i="1"/>
  <c r="X238" i="1"/>
  <c r="X239" i="1"/>
  <c r="X240" i="1"/>
  <c r="X241" i="1"/>
  <c r="X242" i="1"/>
  <c r="X243" i="1"/>
  <c r="X244" i="1"/>
  <c r="X245" i="1"/>
  <c r="X246" i="1"/>
  <c r="X247" i="1"/>
  <c r="X248" i="1"/>
  <c r="X249" i="1"/>
  <c r="X250" i="1"/>
  <c r="X251" i="1"/>
  <c r="X252" i="1"/>
  <c r="X253" i="1"/>
  <c r="X254" i="1"/>
  <c r="X255" i="1"/>
  <c r="X256" i="1"/>
  <c r="X257" i="1"/>
  <c r="X258" i="1"/>
  <c r="X259" i="1"/>
  <c r="X260" i="1"/>
  <c r="X261" i="1"/>
  <c r="X262" i="1"/>
  <c r="X263" i="1"/>
  <c r="Y239" i="1"/>
  <c r="Y240" i="1" s="1"/>
  <c r="Y241" i="1" s="1"/>
  <c r="Y242" i="1" s="1"/>
  <c r="Y243" i="1" s="1"/>
  <c r="Y244" i="1" s="1"/>
  <c r="Y245" i="1" s="1"/>
  <c r="Y246" i="1" s="1"/>
  <c r="Y247" i="1" s="1"/>
  <c r="Y248" i="1" s="1"/>
  <c r="Y249" i="1" s="1"/>
  <c r="Y250" i="1" s="1"/>
  <c r="Y251" i="1" s="1"/>
  <c r="Y252" i="1" s="1"/>
  <c r="Y253" i="1" s="1"/>
  <c r="Y254" i="1" s="1"/>
  <c r="Y255" i="1" s="1"/>
  <c r="Y256" i="1" s="1"/>
  <c r="Y257" i="1" s="1"/>
  <c r="Y258" i="1" s="1"/>
  <c r="Y259" i="1" s="1"/>
  <c r="Y260" i="1" s="1"/>
  <c r="Y261" i="1" s="1"/>
  <c r="Y262" i="1" s="1"/>
  <c r="Y263" i="1" s="1"/>
  <c r="Y238" i="1"/>
  <c r="Y237" i="1"/>
  <c r="Y236" i="1"/>
  <c r="E32" i="1"/>
  <c r="J90" i="1"/>
  <c r="J89" i="1"/>
  <c r="G88" i="1"/>
  <c r="G89" i="1"/>
  <c r="M251" i="1"/>
  <c r="AB5" i="17"/>
  <c r="AB6" i="17" s="1"/>
  <c r="AB7" i="17" s="1"/>
  <c r="AB8" i="17" s="1"/>
  <c r="AB9" i="17" s="1"/>
  <c r="AB10" i="17" s="1"/>
  <c r="AD13" i="17"/>
  <c r="AD14" i="17" s="1"/>
  <c r="AF14" i="17" s="1"/>
  <c r="AB14" i="17"/>
  <c r="AB15" i="17" s="1"/>
  <c r="AB16" i="17" s="1"/>
  <c r="AB17" i="17" s="1"/>
  <c r="AB18" i="17" s="1"/>
  <c r="AB19" i="17" s="1"/>
  <c r="AB20" i="17" s="1"/>
  <c r="AB21" i="17" s="1"/>
  <c r="AB22" i="17" s="1"/>
  <c r="AB23" i="17" s="1"/>
  <c r="AB24" i="17" s="1"/>
  <c r="AB25" i="17" s="1"/>
  <c r="AC5" i="17"/>
  <c r="AC6" i="17"/>
  <c r="AC7" i="17"/>
  <c r="AC8" i="17"/>
  <c r="AC9" i="17"/>
  <c r="AC10" i="17"/>
  <c r="AC4" i="17"/>
  <c r="AJ5" i="17"/>
  <c r="AJ4" i="17"/>
  <c r="H75" i="1"/>
  <c r="T256" i="1"/>
  <c r="T257" i="1"/>
  <c r="T258" i="1"/>
  <c r="T259" i="1"/>
  <c r="T260" i="1"/>
  <c r="T261" i="1"/>
  <c r="T262" i="1"/>
  <c r="T255" i="1"/>
  <c r="H46" i="1"/>
  <c r="H39" i="1" s="1"/>
  <c r="H40" i="1" s="1"/>
  <c r="Y12" i="6"/>
  <c r="M241" i="1"/>
  <c r="I241" i="1"/>
  <c r="I242" i="1" s="1"/>
  <c r="G241" i="1"/>
  <c r="E241" i="1"/>
  <c r="E242" i="1" s="1"/>
  <c r="F51" i="17"/>
  <c r="L3" i="9"/>
  <c r="D8" i="9" s="1"/>
  <c r="V237" i="1"/>
  <c r="V238" i="1" s="1"/>
  <c r="V239" i="1" s="1"/>
  <c r="V240" i="1" s="1"/>
  <c r="I3" i="11"/>
  <c r="J3" i="11" s="1"/>
  <c r="B62" i="10"/>
  <c r="F50" i="17"/>
  <c r="E47" i="17" s="1"/>
  <c r="Q24" i="6"/>
  <c r="H77" i="1" s="1"/>
  <c r="K176" i="1" s="1"/>
  <c r="P24" i="6"/>
  <c r="H78" i="1" s="1"/>
  <c r="K177" i="1" s="1"/>
  <c r="I198" i="1"/>
  <c r="I197" i="1"/>
  <c r="I196" i="1"/>
  <c r="M196" i="1" s="1"/>
  <c r="I193" i="1"/>
  <c r="B76" i="10"/>
  <c r="B88" i="10"/>
  <c r="B112" i="10"/>
  <c r="B38" i="10"/>
  <c r="B26" i="10"/>
  <c r="G64" i="1"/>
  <c r="C7" i="6"/>
  <c r="P12" i="6"/>
  <c r="Q12" i="6"/>
  <c r="P13" i="6"/>
  <c r="Q13" i="6"/>
  <c r="P14" i="6"/>
  <c r="Q14" i="6"/>
  <c r="Y14" i="6" s="1"/>
  <c r="P15" i="6"/>
  <c r="Q15" i="6"/>
  <c r="Y15" i="6" s="1"/>
  <c r="P16" i="6"/>
  <c r="Q16" i="6"/>
  <c r="Y16" i="6" s="1"/>
  <c r="P17" i="6"/>
  <c r="Q17" i="6"/>
  <c r="Y17" i="6" s="1"/>
  <c r="P18" i="6"/>
  <c r="Q18" i="6"/>
  <c r="Y18" i="6" s="1"/>
  <c r="P19" i="6"/>
  <c r="Q19" i="6"/>
  <c r="Y19" i="6" s="1"/>
  <c r="P20" i="6"/>
  <c r="Q20" i="6"/>
  <c r="Y20" i="6" s="1"/>
  <c r="P21" i="6"/>
  <c r="Q21" i="6"/>
  <c r="Y21" i="6" s="1"/>
  <c r="P22" i="6"/>
  <c r="Q22" i="6"/>
  <c r="Y22" i="6" s="1"/>
  <c r="P23" i="6"/>
  <c r="Q23" i="6"/>
  <c r="Y23" i="6" s="1"/>
  <c r="P25" i="6"/>
  <c r="Q25" i="6"/>
  <c r="P26" i="6"/>
  <c r="Q26" i="6"/>
  <c r="Y26" i="6" s="1"/>
  <c r="P27" i="6"/>
  <c r="Q27" i="6"/>
  <c r="Y27" i="6" s="1"/>
  <c r="P28" i="6"/>
  <c r="Q28" i="6"/>
  <c r="Y28" i="6" s="1"/>
  <c r="P29" i="6"/>
  <c r="Q29" i="6"/>
  <c r="Y29" i="6" s="1"/>
  <c r="P30" i="6"/>
  <c r="Q30" i="6"/>
  <c r="Y30" i="6" s="1"/>
  <c r="P31" i="6"/>
  <c r="Q31" i="6"/>
  <c r="Y31" i="6" s="1"/>
  <c r="P32" i="6"/>
  <c r="Q32" i="6"/>
  <c r="Y32" i="6" s="1"/>
  <c r="P33" i="6"/>
  <c r="Q33" i="6"/>
  <c r="Y33" i="6" s="1"/>
  <c r="P34" i="6"/>
  <c r="Q34" i="6"/>
  <c r="Y34" i="6" s="1"/>
  <c r="P35" i="6"/>
  <c r="Q35" i="6"/>
  <c r="Y35" i="6" s="1"/>
  <c r="P36" i="6"/>
  <c r="Q36" i="6"/>
  <c r="Y36" i="6" s="1"/>
  <c r="H54" i="6"/>
  <c r="C6" i="6"/>
  <c r="G78" i="1"/>
  <c r="G77" i="1"/>
  <c r="K173" i="1"/>
  <c r="H41" i="1"/>
  <c r="B55" i="19"/>
  <c r="A102" i="19"/>
  <c r="C55" i="19"/>
  <c r="D55" i="19"/>
  <c r="E55" i="19"/>
  <c r="F55" i="19"/>
  <c r="G55" i="19"/>
  <c r="H55" i="19"/>
  <c r="I55" i="19"/>
  <c r="J55" i="19"/>
  <c r="K55" i="19"/>
  <c r="L55" i="19"/>
  <c r="M55" i="19"/>
  <c r="N55" i="19"/>
  <c r="O55" i="19"/>
  <c r="P55" i="19"/>
  <c r="Q55" i="19"/>
  <c r="R55" i="19"/>
  <c r="S55" i="19"/>
  <c r="T55" i="19"/>
  <c r="U55" i="19"/>
  <c r="V55" i="19"/>
  <c r="W55" i="19"/>
  <c r="X55" i="19"/>
  <c r="Y55" i="19"/>
  <c r="Z55" i="19"/>
  <c r="AA55" i="19"/>
  <c r="AB55" i="19"/>
  <c r="AC55" i="19"/>
  <c r="AD55" i="19"/>
  <c r="AE55" i="19"/>
  <c r="AF55" i="19"/>
  <c r="AG55" i="19"/>
  <c r="AH55" i="19"/>
  <c r="AI55" i="19"/>
  <c r="AJ55" i="19"/>
  <c r="AK55" i="19"/>
  <c r="AL55" i="19"/>
  <c r="AM55" i="19"/>
  <c r="AN55" i="19"/>
  <c r="AO55" i="19"/>
  <c r="AP55" i="19"/>
  <c r="AQ55" i="19"/>
  <c r="AR55" i="19"/>
  <c r="AS55" i="19"/>
  <c r="AT55" i="19"/>
  <c r="AU55" i="19"/>
  <c r="AV55" i="19"/>
  <c r="AW55" i="19"/>
  <c r="AX55" i="19"/>
  <c r="AY55" i="19"/>
  <c r="AZ55" i="19"/>
  <c r="BA55" i="19"/>
  <c r="BB55" i="19"/>
  <c r="BC55" i="19"/>
  <c r="BD55" i="19"/>
  <c r="BE55" i="19"/>
  <c r="BF55" i="19"/>
  <c r="BG55" i="19"/>
  <c r="BH55" i="19"/>
  <c r="BI55" i="19"/>
  <c r="BJ55" i="19"/>
  <c r="BK55" i="19"/>
  <c r="BL55" i="19"/>
  <c r="BM55" i="19"/>
  <c r="BN55" i="19"/>
  <c r="BO55" i="19"/>
  <c r="BP55" i="19"/>
  <c r="BQ55" i="19"/>
  <c r="BR55" i="19"/>
  <c r="BS55" i="19"/>
  <c r="BT55" i="19"/>
  <c r="BU55" i="19"/>
  <c r="BV55" i="19"/>
  <c r="BW55" i="19"/>
  <c r="BX55" i="19"/>
  <c r="BY55" i="19"/>
  <c r="BZ55" i="19"/>
  <c r="CA55" i="19"/>
  <c r="CB55" i="19"/>
  <c r="CC55" i="19"/>
  <c r="CD55" i="19"/>
  <c r="CE55" i="19"/>
  <c r="CF55" i="19"/>
  <c r="CG55" i="19"/>
  <c r="CH55" i="19"/>
  <c r="CI55" i="19"/>
  <c r="G94" i="19" s="1"/>
  <c r="H76" i="1"/>
  <c r="R176" i="1"/>
  <c r="AH12" i="6"/>
  <c r="AA222" i="1"/>
  <c r="Z222" i="1"/>
  <c r="W225" i="1"/>
  <c r="I11" i="6"/>
  <c r="G34" i="6" l="1"/>
  <c r="F36" i="6"/>
  <c r="F28" i="6"/>
  <c r="F20" i="6"/>
  <c r="F12" i="6"/>
  <c r="F35" i="6"/>
  <c r="F27" i="6"/>
  <c r="F19" i="6"/>
  <c r="F34" i="6"/>
  <c r="F26" i="6"/>
  <c r="F18" i="6"/>
  <c r="F33" i="6"/>
  <c r="F25" i="6"/>
  <c r="F17" i="6"/>
  <c r="F32" i="6"/>
  <c r="F24" i="6"/>
  <c r="F16" i="6"/>
  <c r="F31" i="6"/>
  <c r="F23" i="6"/>
  <c r="F15" i="6"/>
  <c r="F30" i="6"/>
  <c r="F22" i="6"/>
  <c r="F14" i="6"/>
  <c r="F29" i="6"/>
  <c r="F21" i="6"/>
  <c r="F13" i="6"/>
  <c r="G12" i="6"/>
  <c r="G13" i="6"/>
  <c r="AD4" i="17"/>
  <c r="AD5" i="17" s="1"/>
  <c r="M182" i="1"/>
  <c r="H59" i="10"/>
  <c r="G33" i="6"/>
  <c r="AG2" i="17"/>
  <c r="G32" i="6"/>
  <c r="AF13" i="17"/>
  <c r="G36" i="6"/>
  <c r="G35" i="6"/>
  <c r="D22" i="9"/>
  <c r="D24" i="9"/>
  <c r="D30" i="9"/>
  <c r="D4" i="9"/>
  <c r="D16" i="9"/>
  <c r="D31" i="9"/>
  <c r="D12" i="9"/>
  <c r="D27" i="9"/>
  <c r="D43" i="9"/>
  <c r="D32" i="9"/>
  <c r="D14" i="9"/>
  <c r="D15" i="9"/>
  <c r="D11" i="9"/>
  <c r="D26" i="9"/>
  <c r="D6" i="9"/>
  <c r="J5" i="11"/>
  <c r="H11" i="1" s="1"/>
  <c r="D5" i="9"/>
  <c r="D33" i="9"/>
  <c r="D29" i="9"/>
  <c r="D36" i="9"/>
  <c r="D48" i="9"/>
  <c r="D10" i="9"/>
  <c r="D44" i="9"/>
  <c r="D28" i="9"/>
  <c r="D50" i="9"/>
  <c r="D51" i="9"/>
  <c r="D13" i="9"/>
  <c r="E243" i="1"/>
  <c r="D21" i="9"/>
  <c r="D49" i="9"/>
  <c r="D41" i="9"/>
  <c r="D39" i="9"/>
  <c r="D46" i="9"/>
  <c r="D40" i="9"/>
  <c r="D37" i="9"/>
  <c r="D34" i="9"/>
  <c r="D19" i="9"/>
  <c r="D38" i="9"/>
  <c r="H47" i="17"/>
  <c r="H75" i="6"/>
  <c r="D81" i="6"/>
  <c r="E74" i="6"/>
  <c r="M47" i="17"/>
  <c r="K47" i="17"/>
  <c r="F73" i="6"/>
  <c r="K72" i="6"/>
  <c r="C73" i="6"/>
  <c r="X33" i="6"/>
  <c r="O47" i="17"/>
  <c r="F79" i="6"/>
  <c r="I82" i="6"/>
  <c r="E81" i="6"/>
  <c r="H43" i="17"/>
  <c r="K75" i="6"/>
  <c r="G82" i="6"/>
  <c r="E76" i="6"/>
  <c r="E82" i="6"/>
  <c r="D82" i="6"/>
  <c r="C75" i="6"/>
  <c r="C79" i="6"/>
  <c r="F76" i="6"/>
  <c r="K80" i="6"/>
  <c r="E79" i="6"/>
  <c r="D76" i="6"/>
  <c r="I77" i="6"/>
  <c r="I75" i="6"/>
  <c r="G79" i="6"/>
  <c r="H82" i="6"/>
  <c r="D73" i="6"/>
  <c r="J74" i="6"/>
  <c r="C81" i="6"/>
  <c r="H81" i="6"/>
  <c r="G74" i="6"/>
  <c r="J82" i="6"/>
  <c r="K73" i="6"/>
  <c r="C74" i="6"/>
  <c r="F82" i="6"/>
  <c r="H73" i="6"/>
  <c r="J42" i="17"/>
  <c r="M43" i="17"/>
  <c r="I38" i="17"/>
  <c r="I42" i="17"/>
  <c r="G42" i="17"/>
  <c r="K43" i="17"/>
  <c r="O42" i="17"/>
  <c r="N42" i="17"/>
  <c r="I44" i="17"/>
  <c r="O44" i="17"/>
  <c r="G44" i="17"/>
  <c r="L47" i="17"/>
  <c r="F47" i="17"/>
  <c r="N47" i="17"/>
  <c r="K77" i="6"/>
  <c r="K79" i="6"/>
  <c r="D74" i="6"/>
  <c r="I76" i="6"/>
  <c r="I81" i="6"/>
  <c r="J79" i="6"/>
  <c r="C76" i="6"/>
  <c r="I74" i="6"/>
  <c r="G77" i="6"/>
  <c r="J75" i="6"/>
  <c r="C82" i="6"/>
  <c r="G75" i="6"/>
  <c r="D75" i="6"/>
  <c r="J81" i="6"/>
  <c r="F81" i="6"/>
  <c r="F75" i="6"/>
  <c r="G81" i="6"/>
  <c r="H79" i="6"/>
  <c r="G76" i="6"/>
  <c r="J76" i="6"/>
  <c r="D77" i="6"/>
  <c r="I73" i="6"/>
  <c r="J77" i="6"/>
  <c r="G73" i="6"/>
  <c r="E75" i="6"/>
  <c r="H74" i="6"/>
  <c r="K74" i="6"/>
  <c r="H77" i="6"/>
  <c r="K71" i="6"/>
  <c r="J73" i="6"/>
  <c r="D79" i="6"/>
  <c r="H76" i="6"/>
  <c r="E73" i="6"/>
  <c r="E77" i="6"/>
  <c r="F74" i="6"/>
  <c r="I79" i="6"/>
  <c r="F77" i="6"/>
  <c r="W222" i="1"/>
  <c r="W223" i="1" s="1"/>
  <c r="D23" i="9"/>
  <c r="D53" i="9"/>
  <c r="D45" i="9"/>
  <c r="D25" i="9"/>
  <c r="D9" i="9"/>
  <c r="D42" i="9"/>
  <c r="D17" i="9"/>
  <c r="D7" i="9"/>
  <c r="D3" i="9"/>
  <c r="D47" i="9"/>
  <c r="D18" i="9"/>
  <c r="D20" i="9"/>
  <c r="D52" i="9"/>
  <c r="D35" i="9"/>
  <c r="X14" i="6"/>
  <c r="X27" i="6"/>
  <c r="X32" i="6"/>
  <c r="M173" i="1"/>
  <c r="T16" i="6"/>
  <c r="X23" i="6"/>
  <c r="T31" i="6"/>
  <c r="T14" i="6"/>
  <c r="T35" i="6"/>
  <c r="T25" i="6"/>
  <c r="X29" i="6"/>
  <c r="T19" i="6"/>
  <c r="X20" i="6"/>
  <c r="T36" i="6"/>
  <c r="X35" i="6"/>
  <c r="X30" i="6"/>
  <c r="X21" i="6"/>
  <c r="T12" i="6"/>
  <c r="X18" i="6"/>
  <c r="T20" i="6"/>
  <c r="T21" i="6"/>
  <c r="T33" i="6"/>
  <c r="X16" i="6"/>
  <c r="T13" i="6"/>
  <c r="T17" i="6"/>
  <c r="Y25" i="6"/>
  <c r="Y24" i="6"/>
  <c r="T22" i="6"/>
  <c r="X22" i="6"/>
  <c r="X36" i="6"/>
  <c r="X17" i="6"/>
  <c r="X24" i="6"/>
  <c r="T30" i="6"/>
  <c r="T23" i="6"/>
  <c r="T27" i="6"/>
  <c r="T15" i="6"/>
  <c r="X31" i="6"/>
  <c r="T34" i="6"/>
  <c r="T32" i="6"/>
  <c r="X26" i="6"/>
  <c r="K174" i="1"/>
  <c r="M174" i="1" s="1"/>
  <c r="H80" i="1"/>
  <c r="Y13" i="6"/>
  <c r="T29" i="6"/>
  <c r="T18" i="6"/>
  <c r="T28" i="6"/>
  <c r="X15" i="6"/>
  <c r="X28" i="6"/>
  <c r="X34" i="6"/>
  <c r="X19" i="6"/>
  <c r="T26" i="6"/>
  <c r="X25" i="6"/>
  <c r="T24" i="6"/>
  <c r="E43" i="17"/>
  <c r="L42" i="17"/>
  <c r="L44" i="17"/>
  <c r="O43" i="17"/>
  <c r="G43" i="17"/>
  <c r="E44" i="17"/>
  <c r="M44" i="17"/>
  <c r="M38" i="17"/>
  <c r="H44" i="17"/>
  <c r="D42" i="17"/>
  <c r="F38" i="17"/>
  <c r="J38" i="17"/>
  <c r="F42" i="17"/>
  <c r="D44" i="17"/>
  <c r="J43" i="17"/>
  <c r="K38" i="17"/>
  <c r="L38" i="17"/>
  <c r="P43" i="17"/>
  <c r="H38" i="17"/>
  <c r="I43" i="17"/>
  <c r="P44" i="17"/>
  <c r="N43" i="17"/>
  <c r="D43" i="17"/>
  <c r="J44" i="17"/>
  <c r="N44" i="17"/>
  <c r="K44" i="17"/>
  <c r="P42" i="17"/>
  <c r="O38" i="17"/>
  <c r="E38" i="17"/>
  <c r="E42" i="17"/>
  <c r="N38" i="17"/>
  <c r="F43" i="17"/>
  <c r="K42" i="17"/>
  <c r="L43" i="17"/>
  <c r="H42" i="17"/>
  <c r="P38" i="17"/>
  <c r="M42" i="17"/>
  <c r="G38" i="17"/>
  <c r="D38" i="17"/>
  <c r="F44" i="17"/>
  <c r="J4" i="11"/>
  <c r="C52" i="1" s="1"/>
  <c r="F6" i="6"/>
  <c r="D56" i="1" l="1"/>
  <c r="H56" i="1"/>
  <c r="S29" i="6"/>
  <c r="R29" i="6" s="1"/>
  <c r="O29" i="6" s="1"/>
  <c r="S26" i="6"/>
  <c r="R26" i="6" s="1"/>
  <c r="O26" i="6" s="1"/>
  <c r="S27" i="6"/>
  <c r="R27" i="6" s="1"/>
  <c r="O27" i="6" s="1"/>
  <c r="C27" i="6" s="1"/>
  <c r="S25" i="6"/>
  <c r="R25" i="6" s="1"/>
  <c r="O25" i="6" s="1"/>
  <c r="S35" i="6"/>
  <c r="R35" i="6" s="1"/>
  <c r="O35" i="6" s="1"/>
  <c r="S32" i="6"/>
  <c r="R32" i="6" s="1"/>
  <c r="O32" i="6" s="1"/>
  <c r="C32" i="6" s="1"/>
  <c r="S31" i="6"/>
  <c r="R31" i="6" s="1"/>
  <c r="O31" i="6"/>
  <c r="S30" i="6"/>
  <c r="R30" i="6" s="1"/>
  <c r="O30" i="6" s="1"/>
  <c r="S28" i="6"/>
  <c r="R28" i="6" s="1"/>
  <c r="O28" i="6" s="1"/>
  <c r="C28" i="6" s="1"/>
  <c r="S34" i="6"/>
  <c r="R34" i="6" s="1"/>
  <c r="O34" i="6" s="1"/>
  <c r="S33" i="6"/>
  <c r="R33" i="6" s="1"/>
  <c r="O33" i="6" s="1"/>
  <c r="S36" i="6"/>
  <c r="R36" i="6" s="1"/>
  <c r="O36" i="6" s="1"/>
  <c r="G22" i="10"/>
  <c r="AF4" i="17"/>
  <c r="H47" i="10"/>
  <c r="E58" i="6" s="1"/>
  <c r="F80" i="6" s="1"/>
  <c r="H35" i="10"/>
  <c r="E57" i="6" s="1"/>
  <c r="E78" i="6" s="1"/>
  <c r="H97" i="10"/>
  <c r="E62" i="6" s="1"/>
  <c r="H23" i="10"/>
  <c r="E56" i="6" s="1"/>
  <c r="D78" i="6" s="1"/>
  <c r="H73" i="10"/>
  <c r="E60" i="6" s="1"/>
  <c r="H78" i="6" s="1"/>
  <c r="E55" i="6"/>
  <c r="C78" i="6" s="1"/>
  <c r="H109" i="10"/>
  <c r="E63" i="6" s="1"/>
  <c r="H85" i="10"/>
  <c r="E61" i="6" s="1"/>
  <c r="I80" i="6" s="1"/>
  <c r="AF5" i="17"/>
  <c r="AG4" i="17"/>
  <c r="J78" i="6"/>
  <c r="H57" i="1"/>
  <c r="I57" i="1" s="1"/>
  <c r="L4" i="9"/>
  <c r="I22" i="9" s="1"/>
  <c r="J22" i="9" s="1"/>
  <c r="F59" i="1"/>
  <c r="F57" i="1"/>
  <c r="G57" i="1"/>
  <c r="E57" i="1"/>
  <c r="E56" i="1"/>
  <c r="M175" i="1"/>
  <c r="A107" i="19"/>
  <c r="A111" i="19"/>
  <c r="A103" i="19"/>
  <c r="A108" i="19"/>
  <c r="A119" i="19"/>
  <c r="A121" i="19"/>
  <c r="A125" i="19"/>
  <c r="A115" i="19"/>
  <c r="A112" i="19"/>
  <c r="A120" i="19"/>
  <c r="A110" i="19"/>
  <c r="A123" i="19"/>
  <c r="A109" i="19"/>
  <c r="A104" i="19"/>
  <c r="A116" i="19"/>
  <c r="X12" i="6"/>
  <c r="X13" i="6"/>
  <c r="A113" i="19"/>
  <c r="A118" i="19"/>
  <c r="A117" i="19"/>
  <c r="A124" i="19"/>
  <c r="A114" i="19"/>
  <c r="A105" i="19"/>
  <c r="M198" i="1"/>
  <c r="A122" i="19"/>
  <c r="A106" i="19"/>
  <c r="A126" i="19"/>
  <c r="G97" i="10"/>
  <c r="G35" i="10"/>
  <c r="G23" i="10"/>
  <c r="G109" i="10"/>
  <c r="G85" i="10"/>
  <c r="G73" i="10"/>
  <c r="G47" i="10"/>
  <c r="G59" i="10"/>
  <c r="E59" i="1"/>
  <c r="D59" i="1"/>
  <c r="D57" i="1"/>
  <c r="C61" i="1"/>
  <c r="D58" i="1"/>
  <c r="F56" i="1"/>
  <c r="C60" i="1"/>
  <c r="I56" i="1"/>
  <c r="G58" i="1"/>
  <c r="G59" i="1"/>
  <c r="E58" i="1"/>
  <c r="G56" i="1"/>
  <c r="F58" i="1"/>
  <c r="H89" i="6"/>
  <c r="H188" i="1"/>
  <c r="F212" i="1" s="1"/>
  <c r="I60" i="6"/>
  <c r="F60" i="6" l="1"/>
  <c r="H85" i="6" s="1"/>
  <c r="H80" i="6"/>
  <c r="F56" i="6"/>
  <c r="D85" i="6" s="1"/>
  <c r="D80" i="6"/>
  <c r="F62" i="6"/>
  <c r="J85" i="6" s="1"/>
  <c r="J80" i="6"/>
  <c r="G212" i="1"/>
  <c r="G217" i="1"/>
  <c r="G218" i="1"/>
  <c r="G219" i="1"/>
  <c r="G213" i="1"/>
  <c r="G214" i="1"/>
  <c r="G215" i="1"/>
  <c r="G216" i="1"/>
  <c r="G211" i="1"/>
  <c r="F57" i="6"/>
  <c r="E80" i="6"/>
  <c r="F63" i="6"/>
  <c r="K83" i="6" s="1"/>
  <c r="K78" i="6"/>
  <c r="F55" i="6"/>
  <c r="C85" i="6" s="1"/>
  <c r="C80" i="6"/>
  <c r="F217" i="1"/>
  <c r="F219" i="1"/>
  <c r="E83" i="6"/>
  <c r="E85" i="6"/>
  <c r="F61" i="6"/>
  <c r="I78" i="6"/>
  <c r="K76" i="6"/>
  <c r="I84" i="6"/>
  <c r="I83" i="6"/>
  <c r="K82" i="6"/>
  <c r="K81" i="6"/>
  <c r="C84" i="6"/>
  <c r="C83" i="6"/>
  <c r="H84" i="6"/>
  <c r="H83" i="6"/>
  <c r="D84" i="6"/>
  <c r="D83" i="6"/>
  <c r="J84" i="6"/>
  <c r="J83" i="6"/>
  <c r="H58" i="1"/>
  <c r="I58" i="1" s="1"/>
  <c r="E87" i="6"/>
  <c r="E84" i="6"/>
  <c r="W29" i="6"/>
  <c r="C29" i="6"/>
  <c r="W35" i="6"/>
  <c r="C35" i="6"/>
  <c r="W26" i="6"/>
  <c r="C26" i="6"/>
  <c r="W30" i="6"/>
  <c r="C30" i="6"/>
  <c r="W25" i="6"/>
  <c r="C25" i="6"/>
  <c r="W33" i="6"/>
  <c r="C33" i="6"/>
  <c r="W34" i="6"/>
  <c r="C34" i="6"/>
  <c r="W36" i="6"/>
  <c r="C36" i="6"/>
  <c r="W31" i="6"/>
  <c r="C31" i="6"/>
  <c r="I86" i="6"/>
  <c r="H56" i="6"/>
  <c r="I56" i="6" s="1"/>
  <c r="D86" i="6"/>
  <c r="H60" i="6"/>
  <c r="H86" i="6"/>
  <c r="H63" i="6"/>
  <c r="I63" i="6" s="1"/>
  <c r="K84" i="6"/>
  <c r="H62" i="6"/>
  <c r="I62" i="6" s="1"/>
  <c r="J86" i="6"/>
  <c r="H55" i="6"/>
  <c r="I55" i="6" s="1"/>
  <c r="C86" i="6"/>
  <c r="H57" i="6"/>
  <c r="I57" i="6" s="1"/>
  <c r="E86" i="6"/>
  <c r="W27" i="6"/>
  <c r="C77" i="6"/>
  <c r="W28" i="6"/>
  <c r="W32" i="6"/>
  <c r="E59" i="6"/>
  <c r="G78" i="6" s="1"/>
  <c r="I16" i="9"/>
  <c r="J16" i="9" s="1"/>
  <c r="F78" i="6"/>
  <c r="I5" i="9"/>
  <c r="J5" i="9" s="1"/>
  <c r="H59" i="1"/>
  <c r="I59" i="1" s="1"/>
  <c r="M197" i="1" s="1"/>
  <c r="C87" i="6"/>
  <c r="D87" i="6"/>
  <c r="K85" i="6"/>
  <c r="H87" i="6"/>
  <c r="J87" i="6"/>
  <c r="I34" i="9"/>
  <c r="J34" i="9" s="1"/>
  <c r="I23" i="9"/>
  <c r="J23" i="9" s="1"/>
  <c r="I24" i="9"/>
  <c r="J24" i="9" s="1"/>
  <c r="I32" i="9"/>
  <c r="J32" i="9" s="1"/>
  <c r="I20" i="9"/>
  <c r="J20" i="9" s="1"/>
  <c r="I31" i="9"/>
  <c r="J31" i="9" s="1"/>
  <c r="I10" i="9"/>
  <c r="J10" i="9" s="1"/>
  <c r="I45" i="9"/>
  <c r="J45" i="9" s="1"/>
  <c r="I7" i="9"/>
  <c r="J7" i="9" s="1"/>
  <c r="I46" i="9"/>
  <c r="J46" i="9" s="1"/>
  <c r="I47" i="9"/>
  <c r="J47" i="9" s="1"/>
  <c r="I41" i="9"/>
  <c r="J41" i="9" s="1"/>
  <c r="I37" i="9"/>
  <c r="J37" i="9" s="1"/>
  <c r="I43" i="9"/>
  <c r="J43" i="9" s="1"/>
  <c r="I51" i="9"/>
  <c r="J51" i="9" s="1"/>
  <c r="I15" i="9"/>
  <c r="J15" i="9" s="1"/>
  <c r="I17" i="9"/>
  <c r="J17" i="9" s="1"/>
  <c r="I50" i="9"/>
  <c r="J50" i="9" s="1"/>
  <c r="I27" i="9"/>
  <c r="J27" i="9" s="1"/>
  <c r="I11" i="9"/>
  <c r="J11" i="9" s="1"/>
  <c r="I8" i="9"/>
  <c r="J8" i="9" s="1"/>
  <c r="I6" i="9"/>
  <c r="J6" i="9" s="1"/>
  <c r="I12" i="9"/>
  <c r="J12" i="9" s="1"/>
  <c r="I13" i="9"/>
  <c r="J13" i="9" s="1"/>
  <c r="I19" i="9"/>
  <c r="J19" i="9" s="1"/>
  <c r="I9" i="9"/>
  <c r="J9" i="9" s="1"/>
  <c r="I48" i="9"/>
  <c r="J48" i="9" s="1"/>
  <c r="I42" i="9"/>
  <c r="J42" i="9" s="1"/>
  <c r="I36" i="9"/>
  <c r="J36" i="9" s="1"/>
  <c r="I25" i="9"/>
  <c r="J25" i="9" s="1"/>
  <c r="I4" i="9"/>
  <c r="J4" i="9" s="1"/>
  <c r="I29" i="9"/>
  <c r="J29" i="9" s="1"/>
  <c r="I14" i="9"/>
  <c r="J14" i="9" s="1"/>
  <c r="I44" i="9"/>
  <c r="J44" i="9" s="1"/>
  <c r="I40" i="9"/>
  <c r="J40" i="9" s="1"/>
  <c r="I33" i="9"/>
  <c r="J33" i="9" s="1"/>
  <c r="I18" i="9"/>
  <c r="J18" i="9" s="1"/>
  <c r="R266" i="1"/>
  <c r="I52" i="9"/>
  <c r="J52" i="9" s="1"/>
  <c r="I39" i="9"/>
  <c r="J39" i="9" s="1"/>
  <c r="I21" i="9"/>
  <c r="J21" i="9" s="1"/>
  <c r="I53" i="9"/>
  <c r="J53" i="9" s="1"/>
  <c r="I28" i="9"/>
  <c r="J28" i="9" s="1"/>
  <c r="I35" i="9"/>
  <c r="J35" i="9" s="1"/>
  <c r="I26" i="9"/>
  <c r="J26" i="9" s="1"/>
  <c r="I38" i="9"/>
  <c r="J38" i="9" s="1"/>
  <c r="I30" i="9"/>
  <c r="J30" i="9" s="1"/>
  <c r="I3" i="9"/>
  <c r="J3" i="9" s="1"/>
  <c r="I49" i="9"/>
  <c r="J49" i="9" s="1"/>
  <c r="F58" i="6"/>
  <c r="F85" i="6" s="1"/>
  <c r="G207" i="1"/>
  <c r="G206" i="1"/>
  <c r="R267" i="1"/>
  <c r="G220" i="1" l="1"/>
  <c r="F59" i="6"/>
  <c r="G85" i="6" s="1"/>
  <c r="G80" i="6"/>
  <c r="I85" i="6"/>
  <c r="I87" i="6"/>
  <c r="H61" i="6"/>
  <c r="I61" i="6" s="1"/>
  <c r="F84" i="6"/>
  <c r="F83" i="6"/>
  <c r="G84" i="6"/>
  <c r="G83" i="6"/>
  <c r="E88" i="6"/>
  <c r="E89" i="6" s="1"/>
  <c r="H88" i="6"/>
  <c r="K86" i="6"/>
  <c r="K87" i="6" s="1"/>
  <c r="H58" i="6"/>
  <c r="I58" i="6" s="1"/>
  <c r="F86" i="6"/>
  <c r="D88" i="6"/>
  <c r="D89" i="6" s="1"/>
  <c r="J88" i="6"/>
  <c r="J89" i="6" s="1"/>
  <c r="H59" i="6"/>
  <c r="I59" i="6" s="1"/>
  <c r="G86" i="6"/>
  <c r="C88" i="6"/>
  <c r="C89" i="6" s="1"/>
  <c r="G87" i="6"/>
  <c r="F87" i="6"/>
  <c r="J54" i="9"/>
  <c r="I54" i="9"/>
  <c r="H220" i="1"/>
  <c r="I88" i="6" l="1"/>
  <c r="I89" i="6" s="1"/>
  <c r="M193" i="1"/>
  <c r="F88" i="6"/>
  <c r="F89" i="6" s="1"/>
  <c r="G88" i="6"/>
  <c r="G89" i="6" s="1"/>
  <c r="H64" i="6"/>
  <c r="L87" i="6" s="1"/>
  <c r="M181" i="1" s="1"/>
  <c r="M183" i="1" s="1"/>
  <c r="K54" i="9"/>
  <c r="L5" i="9" s="1"/>
  <c r="H15" i="1" s="1"/>
  <c r="I17" i="17" s="1"/>
  <c r="M17" i="17" s="1"/>
  <c r="K29" i="17" s="1"/>
  <c r="F7" i="6" l="1"/>
  <c r="R17" i="6" s="1"/>
  <c r="N28" i="17"/>
  <c r="K24" i="17"/>
  <c r="H30" i="17"/>
  <c r="J28" i="17"/>
  <c r="G25" i="17"/>
  <c r="G39" i="17" s="1"/>
  <c r="H28" i="17"/>
  <c r="I28" i="17"/>
  <c r="D30" i="17"/>
  <c r="P25" i="17"/>
  <c r="P39" i="17" s="1"/>
  <c r="I25" i="17"/>
  <c r="I39" i="17" s="1"/>
  <c r="J30" i="17"/>
  <c r="O30" i="17"/>
  <c r="I24" i="17"/>
  <c r="P30" i="17"/>
  <c r="H25" i="17"/>
  <c r="H39" i="17" s="1"/>
  <c r="F26" i="17"/>
  <c r="F40" i="17" s="1"/>
  <c r="N25" i="17"/>
  <c r="N39" i="17" s="1"/>
  <c r="N29" i="17"/>
  <c r="P29" i="17"/>
  <c r="G29" i="17"/>
  <c r="K27" i="17"/>
  <c r="K41" i="17" s="1"/>
  <c r="H26" i="17"/>
  <c r="H40" i="17" s="1"/>
  <c r="I27" i="17"/>
  <c r="I41" i="17" s="1"/>
  <c r="N30" i="17"/>
  <c r="N26" i="17"/>
  <c r="N40" i="17" s="1"/>
  <c r="M27" i="17"/>
  <c r="M41" i="17" s="1"/>
  <c r="N24" i="17"/>
  <c r="G24" i="17"/>
  <c r="J27" i="17"/>
  <c r="J41" i="17" s="1"/>
  <c r="M29" i="17"/>
  <c r="K25" i="17"/>
  <c r="K39" i="17" s="1"/>
  <c r="P24" i="17"/>
  <c r="L30" i="17"/>
  <c r="P27" i="17"/>
  <c r="P41" i="17" s="1"/>
  <c r="O26" i="17"/>
  <c r="O40" i="17" s="1"/>
  <c r="L26" i="17"/>
  <c r="L40" i="17" s="1"/>
  <c r="D28" i="17"/>
  <c r="E27" i="17"/>
  <c r="E41" i="17" s="1"/>
  <c r="K26" i="17"/>
  <c r="K40" i="17" s="1"/>
  <c r="M25" i="17"/>
  <c r="M39" i="17" s="1"/>
  <c r="O25" i="17"/>
  <c r="O39" i="17" s="1"/>
  <c r="E25" i="17"/>
  <c r="E39" i="17" s="1"/>
  <c r="G30" i="17"/>
  <c r="E28" i="17"/>
  <c r="M30" i="17"/>
  <c r="O28" i="17"/>
  <c r="N27" i="17"/>
  <c r="N41" i="17" s="1"/>
  <c r="D24" i="17"/>
  <c r="E29" i="17"/>
  <c r="L29" i="17"/>
  <c r="F24" i="17"/>
  <c r="E26" i="17"/>
  <c r="E40" i="17" s="1"/>
  <c r="D26" i="17"/>
  <c r="D40" i="17" s="1"/>
  <c r="J26" i="17"/>
  <c r="J40" i="17" s="1"/>
  <c r="H24" i="17"/>
  <c r="K28" i="17"/>
  <c r="J24" i="17"/>
  <c r="L27" i="17"/>
  <c r="L41" i="17" s="1"/>
  <c r="L25" i="17"/>
  <c r="L39" i="17" s="1"/>
  <c r="M28" i="17"/>
  <c r="D25" i="17"/>
  <c r="D39" i="17" s="1"/>
  <c r="M24" i="17"/>
  <c r="D29" i="17"/>
  <c r="I30" i="17"/>
  <c r="E24" i="17"/>
  <c r="F30" i="17"/>
  <c r="G28" i="17"/>
  <c r="J29" i="17"/>
  <c r="F27" i="17"/>
  <c r="F41" i="17" s="1"/>
  <c r="F29" i="17"/>
  <c r="K30" i="17"/>
  <c r="O29" i="17"/>
  <c r="M26" i="17"/>
  <c r="M40" i="17" s="1"/>
  <c r="P28" i="17"/>
  <c r="H29" i="17"/>
  <c r="L28" i="17"/>
  <c r="J25" i="17"/>
  <c r="J39" i="17" s="1"/>
  <c r="G27" i="17"/>
  <c r="G41" i="17" s="1"/>
  <c r="O27" i="17"/>
  <c r="O41" i="17" s="1"/>
  <c r="I26" i="17"/>
  <c r="I40" i="17" s="1"/>
  <c r="E30" i="17"/>
  <c r="F28" i="17"/>
  <c r="L24" i="17"/>
  <c r="G26" i="17"/>
  <c r="G40" i="17" s="1"/>
  <c r="P26" i="17"/>
  <c r="P40" i="17" s="1"/>
  <c r="F25" i="17"/>
  <c r="F39" i="17" s="1"/>
  <c r="H27" i="17"/>
  <c r="H41" i="17" s="1"/>
  <c r="O24" i="17"/>
  <c r="I29" i="17"/>
  <c r="I47" i="17"/>
  <c r="D27" i="17"/>
  <c r="D41" i="17" s="1"/>
  <c r="G47" i="17" l="1"/>
  <c r="P47" i="17"/>
  <c r="D47" i="17"/>
  <c r="S17" i="6"/>
  <c r="R19" i="6"/>
  <c r="R12" i="6"/>
  <c r="R22" i="6"/>
  <c r="R24" i="6"/>
  <c r="R18" i="6"/>
  <c r="R15" i="6"/>
  <c r="R14" i="6"/>
  <c r="R21" i="6"/>
  <c r="R16" i="6"/>
  <c r="R20" i="6"/>
  <c r="R13" i="6"/>
  <c r="R23" i="6"/>
  <c r="J47" i="17"/>
  <c r="O17" i="6" l="1"/>
  <c r="W17" i="6" s="1"/>
  <c r="H51" i="17"/>
  <c r="H16" i="1" s="1"/>
  <c r="H113" i="1" s="1"/>
  <c r="S23" i="6"/>
  <c r="O23" i="6" s="1"/>
  <c r="S21" i="6"/>
  <c r="O21" i="6" s="1"/>
  <c r="S18" i="6"/>
  <c r="O18" i="6" s="1"/>
  <c r="S19" i="6"/>
  <c r="O19" i="6" s="1"/>
  <c r="S13" i="6"/>
  <c r="O13" i="6" s="1"/>
  <c r="S14" i="6"/>
  <c r="O14" i="6" s="1"/>
  <c r="S24" i="6"/>
  <c r="O24" i="6" s="1"/>
  <c r="S20" i="6"/>
  <c r="O20" i="6" s="1"/>
  <c r="S22" i="6"/>
  <c r="O22" i="6" s="1"/>
  <c r="S16" i="6"/>
  <c r="O16" i="6" s="1"/>
  <c r="S15" i="6"/>
  <c r="O15" i="6" s="1"/>
  <c r="S12" i="6"/>
  <c r="O12" i="6" s="1"/>
  <c r="V242" i="1" l="1"/>
  <c r="V241" i="1"/>
  <c r="U241" i="1" s="1"/>
  <c r="N250" i="1"/>
  <c r="C17" i="6"/>
  <c r="W24" i="6"/>
  <c r="C24" i="6"/>
  <c r="W19" i="6"/>
  <c r="C19" i="6"/>
  <c r="W16" i="6"/>
  <c r="C16" i="6"/>
  <c r="W21" i="6"/>
  <c r="C21" i="6"/>
  <c r="W20" i="6"/>
  <c r="C20" i="6"/>
  <c r="F220" i="1"/>
  <c r="H91" i="1" s="1"/>
  <c r="H94" i="1" s="1"/>
  <c r="M252" i="1"/>
  <c r="M253" i="1" s="1"/>
  <c r="H114" i="1"/>
  <c r="D12" i="6" s="1"/>
  <c r="AD12" i="6" s="1"/>
  <c r="G91" i="1" l="1"/>
  <c r="G93" i="1" s="1"/>
  <c r="I220" i="1"/>
  <c r="W14" i="6"/>
  <c r="C14" i="6"/>
  <c r="W15" i="6"/>
  <c r="C15" i="6"/>
  <c r="W12" i="6"/>
  <c r="C12" i="6"/>
  <c r="E12" i="6" s="1"/>
  <c r="W23" i="6"/>
  <c r="C23" i="6"/>
  <c r="W18" i="6"/>
  <c r="C18" i="6"/>
  <c r="W22" i="6"/>
  <c r="C22" i="6"/>
  <c r="W13" i="6"/>
  <c r="C13" i="6"/>
  <c r="V33" i="6"/>
  <c r="AA33" i="6" s="1"/>
  <c r="J193" i="1"/>
  <c r="W78" i="1"/>
  <c r="W77" i="1" s="1"/>
  <c r="D35" i="6"/>
  <c r="E35" i="6" s="1"/>
  <c r="D32" i="6"/>
  <c r="E32" i="6" s="1"/>
  <c r="V17" i="6"/>
  <c r="AA17" i="6" s="1"/>
  <c r="V36" i="6"/>
  <c r="AA36" i="6" s="1"/>
  <c r="D27" i="6"/>
  <c r="E27" i="6" s="1"/>
  <c r="V13" i="6"/>
  <c r="AA13" i="6" s="1"/>
  <c r="V34" i="6"/>
  <c r="AA34" i="6" s="1"/>
  <c r="D21" i="6"/>
  <c r="E21" i="6" s="1"/>
  <c r="V27" i="6"/>
  <c r="AA27" i="6" s="1"/>
  <c r="V35" i="6"/>
  <c r="AA35" i="6" s="1"/>
  <c r="D30" i="6"/>
  <c r="E30" i="6" s="1"/>
  <c r="D17" i="6"/>
  <c r="E17" i="6" s="1"/>
  <c r="D28" i="6"/>
  <c r="E28" i="6" s="1"/>
  <c r="V26" i="6"/>
  <c r="AA26" i="6" s="1"/>
  <c r="D25" i="6"/>
  <c r="E25" i="6" s="1"/>
  <c r="D26" i="6"/>
  <c r="E26" i="6" s="1"/>
  <c r="V32" i="6"/>
  <c r="AA32" i="6" s="1"/>
  <c r="V22" i="6"/>
  <c r="AA22" i="6" s="1"/>
  <c r="D31" i="6"/>
  <c r="E31" i="6" s="1"/>
  <c r="D22" i="6"/>
  <c r="D19" i="6"/>
  <c r="E19" i="6" s="1"/>
  <c r="D13" i="6"/>
  <c r="AD13" i="6" s="1"/>
  <c r="V15" i="6"/>
  <c r="AA15" i="6" s="1"/>
  <c r="V24" i="6"/>
  <c r="AA24" i="6" s="1"/>
  <c r="V29" i="6"/>
  <c r="AA29" i="6" s="1"/>
  <c r="V19" i="6"/>
  <c r="AA19" i="6" s="1"/>
  <c r="V31" i="6"/>
  <c r="AA31" i="6" s="1"/>
  <c r="D14" i="6"/>
  <c r="D24" i="6"/>
  <c r="E24" i="6" s="1"/>
  <c r="V16" i="6"/>
  <c r="AA16" i="6" s="1"/>
  <c r="D15" i="6"/>
  <c r="D34" i="6"/>
  <c r="E34" i="6" s="1"/>
  <c r="D33" i="6"/>
  <c r="E33" i="6" s="1"/>
  <c r="D36" i="6"/>
  <c r="E36" i="6" s="1"/>
  <c r="V23" i="6"/>
  <c r="AA23" i="6" s="1"/>
  <c r="N252" i="1"/>
  <c r="O252" i="1" s="1"/>
  <c r="P252" i="1" s="1"/>
  <c r="V30" i="6"/>
  <c r="AA30" i="6" s="1"/>
  <c r="D18" i="6"/>
  <c r="V21" i="6"/>
  <c r="AA21" i="6" s="1"/>
  <c r="D29" i="6"/>
  <c r="E29" i="6" s="1"/>
  <c r="V18" i="6"/>
  <c r="AA18" i="6" s="1"/>
  <c r="V25" i="6"/>
  <c r="AA25" i="6" s="1"/>
  <c r="D16" i="6"/>
  <c r="E16" i="6" s="1"/>
  <c r="V20" i="6"/>
  <c r="AA20" i="6" s="1"/>
  <c r="V12" i="6"/>
  <c r="AA12" i="6" s="1"/>
  <c r="D20" i="6"/>
  <c r="E20" i="6" s="1"/>
  <c r="V14" i="6"/>
  <c r="AA14" i="6" s="1"/>
  <c r="V28" i="6"/>
  <c r="AA28" i="6" s="1"/>
  <c r="D23" i="6"/>
  <c r="G222" i="1" l="1"/>
  <c r="E18" i="6"/>
  <c r="E13" i="6"/>
  <c r="AD14" i="6"/>
  <c r="AD15" i="6" s="1"/>
  <c r="AD16" i="6" s="1"/>
  <c r="AD17" i="6" s="1"/>
  <c r="AD18" i="6" s="1"/>
  <c r="AD19" i="6" s="1"/>
  <c r="AD20" i="6" s="1"/>
  <c r="AD21" i="6" s="1"/>
  <c r="AD22" i="6" s="1"/>
  <c r="AD23" i="6" s="1"/>
  <c r="AD24" i="6" s="1"/>
  <c r="AD25" i="6" s="1"/>
  <c r="AD26" i="6" s="1"/>
  <c r="AD27" i="6" s="1"/>
  <c r="AD28" i="6" s="1"/>
  <c r="AD29" i="6" s="1"/>
  <c r="AD30" i="6" s="1"/>
  <c r="AD31" i="6" s="1"/>
  <c r="AD32" i="6" s="1"/>
  <c r="AD33" i="6" s="1"/>
  <c r="AD34" i="6" s="1"/>
  <c r="AD35" i="6" s="1"/>
  <c r="AD36" i="6" s="1"/>
  <c r="E22" i="6"/>
  <c r="D37" i="6"/>
  <c r="H115" i="1" s="1"/>
  <c r="H123" i="1" s="1"/>
  <c r="E15" i="6"/>
  <c r="E14" i="6"/>
  <c r="E23" i="6"/>
  <c r="G22" i="6"/>
  <c r="G24" i="6"/>
  <c r="G25" i="6"/>
  <c r="G31" i="6"/>
  <c r="G27" i="6"/>
  <c r="G26" i="6"/>
  <c r="G28" i="6"/>
  <c r="G29" i="6"/>
  <c r="G30" i="6"/>
  <c r="G23" i="6"/>
  <c r="O21" i="1" l="1"/>
  <c r="G14" i="6"/>
  <c r="H15" i="6" s="1"/>
  <c r="G19" i="6"/>
  <c r="J94" i="1"/>
  <c r="N193" i="1"/>
  <c r="G15" i="6"/>
  <c r="G21" i="6"/>
  <c r="G17" i="6"/>
  <c r="G16" i="6"/>
  <c r="G20" i="6"/>
  <c r="H12" i="6"/>
  <c r="I12" i="6" s="1"/>
  <c r="H13" i="6"/>
  <c r="I13" i="6" s="1"/>
  <c r="J13" i="6" s="1"/>
  <c r="K13" i="6" s="1"/>
  <c r="G18" i="6"/>
  <c r="H118" i="1"/>
  <c r="F11" i="6"/>
  <c r="J11" i="6" s="1"/>
  <c r="H14" i="6"/>
  <c r="E37" i="6"/>
  <c r="I14" i="6" l="1"/>
  <c r="J14" i="6" s="1"/>
  <c r="K14" i="6" s="1"/>
  <c r="H26" i="6"/>
  <c r="I26" i="6" s="1"/>
  <c r="J26" i="6" s="1"/>
  <c r="K26" i="6" s="1"/>
  <c r="H34" i="6"/>
  <c r="I34" i="6" s="1"/>
  <c r="J34" i="6" s="1"/>
  <c r="K34" i="6" s="1"/>
  <c r="H23" i="6"/>
  <c r="I23" i="6" s="1"/>
  <c r="J23" i="6" s="1"/>
  <c r="K23" i="6" s="1"/>
  <c r="AB11" i="6"/>
  <c r="AB12" i="6" s="1"/>
  <c r="AF12" i="6" s="1"/>
  <c r="H28" i="6"/>
  <c r="I28" i="6" s="1"/>
  <c r="J28" i="6" s="1"/>
  <c r="K28" i="6" s="1"/>
  <c r="I15" i="6"/>
  <c r="J15" i="6" s="1"/>
  <c r="K15" i="6" s="1"/>
  <c r="H25" i="6"/>
  <c r="I25" i="6" s="1"/>
  <c r="J25" i="6" s="1"/>
  <c r="K25" i="6" s="1"/>
  <c r="H36" i="6"/>
  <c r="I36" i="6" s="1"/>
  <c r="J36" i="6" s="1"/>
  <c r="K36" i="6" s="1"/>
  <c r="H18" i="6"/>
  <c r="I18" i="6" s="1"/>
  <c r="J18" i="6" s="1"/>
  <c r="K18" i="6" s="1"/>
  <c r="H21" i="6"/>
  <c r="I21" i="6" s="1"/>
  <c r="J21" i="6" s="1"/>
  <c r="K21" i="6" s="1"/>
  <c r="H35" i="6"/>
  <c r="I35" i="6" s="1"/>
  <c r="J35" i="6" s="1"/>
  <c r="K35" i="6" s="1"/>
  <c r="H20" i="6"/>
  <c r="I20" i="6" s="1"/>
  <c r="J20" i="6" s="1"/>
  <c r="K20" i="6" s="1"/>
  <c r="F37" i="6"/>
  <c r="H19" i="6"/>
  <c r="I19" i="6" s="1"/>
  <c r="J19" i="6" s="1"/>
  <c r="K19" i="6" s="1"/>
  <c r="H32" i="6"/>
  <c r="I32" i="6" s="1"/>
  <c r="J32" i="6" s="1"/>
  <c r="K32" i="6" s="1"/>
  <c r="H17" i="6"/>
  <c r="I17" i="6" s="1"/>
  <c r="J17" i="6" s="1"/>
  <c r="K17" i="6" s="1"/>
  <c r="G37" i="6"/>
  <c r="H27" i="6"/>
  <c r="I27" i="6" s="1"/>
  <c r="J27" i="6" s="1"/>
  <c r="K27" i="6" s="1"/>
  <c r="H31" i="6"/>
  <c r="I31" i="6" s="1"/>
  <c r="J31" i="6" s="1"/>
  <c r="K31" i="6" s="1"/>
  <c r="H33" i="6"/>
  <c r="I33" i="6" s="1"/>
  <c r="J33" i="6" s="1"/>
  <c r="K33" i="6" s="1"/>
  <c r="H16" i="6"/>
  <c r="I16" i="6" s="1"/>
  <c r="J16" i="6" s="1"/>
  <c r="K16" i="6" s="1"/>
  <c r="AC12" i="6"/>
  <c r="AE12" i="6" s="1"/>
  <c r="H22" i="6"/>
  <c r="I22" i="6" s="1"/>
  <c r="J22" i="6" s="1"/>
  <c r="K22" i="6" s="1"/>
  <c r="AC11" i="6"/>
  <c r="H30" i="6"/>
  <c r="I30" i="6" s="1"/>
  <c r="J30" i="6" s="1"/>
  <c r="K30" i="6" s="1"/>
  <c r="H29" i="6"/>
  <c r="I29" i="6" s="1"/>
  <c r="J29" i="6" s="1"/>
  <c r="K29" i="6" s="1"/>
  <c r="H24" i="6"/>
  <c r="I24" i="6" s="1"/>
  <c r="J24" i="6" s="1"/>
  <c r="K24" i="6" s="1"/>
  <c r="K11" i="6"/>
  <c r="J12" i="6"/>
  <c r="AB13" i="6" l="1"/>
  <c r="AB14" i="6" s="1"/>
  <c r="J37" i="6"/>
  <c r="I37" i="6"/>
  <c r="I38" i="6" s="1"/>
  <c r="L39" i="6" s="1"/>
  <c r="AC13" i="6"/>
  <c r="AE13" i="6" s="1"/>
  <c r="H37" i="6"/>
  <c r="K12" i="6"/>
  <c r="K37" i="6" s="1"/>
  <c r="L40" i="6"/>
  <c r="H119" i="1" s="1"/>
  <c r="AG12" i="6"/>
  <c r="AH13" i="6" s="1"/>
  <c r="AJ12" i="6"/>
  <c r="L11" i="6"/>
  <c r="M11" i="6" s="1"/>
  <c r="AC14" i="6" l="1"/>
  <c r="AE14" i="6" s="1"/>
  <c r="AF13" i="6"/>
  <c r="AJ13" i="6" s="1"/>
  <c r="L41" i="6"/>
  <c r="AF14" i="6"/>
  <c r="AB15" i="6"/>
  <c r="L12" i="6"/>
  <c r="AC15" i="6" l="1"/>
  <c r="AC16" i="6" s="1"/>
  <c r="AG13" i="6"/>
  <c r="AH14" i="6" s="1"/>
  <c r="L13" i="6"/>
  <c r="M12" i="6"/>
  <c r="AF15" i="6"/>
  <c r="AB16" i="6"/>
  <c r="AJ14" i="6"/>
  <c r="AG14" i="6"/>
  <c r="AH15" i="6" s="1"/>
  <c r="AE15" i="6" l="1"/>
  <c r="AE16" i="6"/>
  <c r="AC17" i="6"/>
  <c r="AB17" i="6"/>
  <c r="AF16" i="6"/>
  <c r="AG15" i="6"/>
  <c r="AH16" i="6" s="1"/>
  <c r="AJ15" i="6"/>
  <c r="M13" i="6"/>
  <c r="L14" i="6"/>
  <c r="AB18" i="6" l="1"/>
  <c r="AF17" i="6"/>
  <c r="M14" i="6"/>
  <c r="L15" i="6"/>
  <c r="AG16" i="6"/>
  <c r="AH17" i="6" s="1"/>
  <c r="AJ16" i="6"/>
  <c r="AE17" i="6"/>
  <c r="AC18" i="6"/>
  <c r="AC19" i="6" l="1"/>
  <c r="AE18" i="6"/>
  <c r="L16" i="6"/>
  <c r="M15" i="6"/>
  <c r="AJ17" i="6"/>
  <c r="AG17" i="6"/>
  <c r="AH18" i="6" s="1"/>
  <c r="AF18" i="6"/>
  <c r="AB19" i="6"/>
  <c r="AF19" i="6" l="1"/>
  <c r="AB20" i="6"/>
  <c r="AG18" i="6"/>
  <c r="AH19" i="6" s="1"/>
  <c r="AJ18" i="6"/>
  <c r="M16" i="6"/>
  <c r="L17" i="6"/>
  <c r="AE19" i="6"/>
  <c r="AC20" i="6"/>
  <c r="AE20" i="6" l="1"/>
  <c r="AC21" i="6"/>
  <c r="L18" i="6"/>
  <c r="M17" i="6"/>
  <c r="AB21" i="6"/>
  <c r="AF20" i="6"/>
  <c r="AJ19" i="6"/>
  <c r="AG19" i="6"/>
  <c r="AH20" i="6" s="1"/>
  <c r="AC22" i="6" l="1"/>
  <c r="AE21" i="6"/>
  <c r="M18" i="6"/>
  <c r="L19" i="6"/>
  <c r="AG20" i="6"/>
  <c r="AH21" i="6" s="1"/>
  <c r="AJ20" i="6"/>
  <c r="AB22" i="6"/>
  <c r="AF21" i="6"/>
  <c r="AG21" i="6" l="1"/>
  <c r="AH22" i="6" s="1"/>
  <c r="AJ21" i="6"/>
  <c r="L20" i="6"/>
  <c r="M19" i="6"/>
  <c r="AF22" i="6"/>
  <c r="AB23" i="6"/>
  <c r="AC23" i="6"/>
  <c r="AE22" i="6"/>
  <c r="AE23" i="6" l="1"/>
  <c r="AC24" i="6"/>
  <c r="M20" i="6"/>
  <c r="L21" i="6"/>
  <c r="AB24" i="6"/>
  <c r="AF23" i="6"/>
  <c r="AJ22" i="6"/>
  <c r="AG22" i="6"/>
  <c r="AH23" i="6" s="1"/>
  <c r="AG23" i="6" l="1"/>
  <c r="AH24" i="6" s="1"/>
  <c r="AJ23" i="6"/>
  <c r="AE24" i="6"/>
  <c r="AC25" i="6"/>
  <c r="M21" i="6"/>
  <c r="L22" i="6"/>
  <c r="AF24" i="6"/>
  <c r="AB25" i="6"/>
  <c r="AB26" i="6" l="1"/>
  <c r="AF25" i="6"/>
  <c r="AC26" i="6"/>
  <c r="AE25" i="6"/>
  <c r="AG24" i="6"/>
  <c r="AH25" i="6" s="1"/>
  <c r="AJ24" i="6"/>
  <c r="L23" i="6"/>
  <c r="M22" i="6"/>
  <c r="L24" i="6" l="1"/>
  <c r="M23" i="6"/>
  <c r="AG25" i="6"/>
  <c r="AH26" i="6" s="1"/>
  <c r="AJ25" i="6"/>
  <c r="AE26" i="6"/>
  <c r="AC27" i="6"/>
  <c r="AF26" i="6"/>
  <c r="AB27" i="6"/>
  <c r="AB28" i="6" l="1"/>
  <c r="AF27" i="6"/>
  <c r="AG26" i="6"/>
  <c r="AH27" i="6" s="1"/>
  <c r="AJ26" i="6"/>
  <c r="AE27" i="6"/>
  <c r="AC28" i="6"/>
  <c r="M24" i="6"/>
  <c r="L25" i="6"/>
  <c r="AJ27" i="6" l="1"/>
  <c r="AG27" i="6"/>
  <c r="AH28" i="6" s="1"/>
  <c r="L26" i="6"/>
  <c r="M25" i="6"/>
  <c r="AC29" i="6"/>
  <c r="AE28" i="6"/>
  <c r="AB29" i="6"/>
  <c r="AF28" i="6"/>
  <c r="AG28" i="6" l="1"/>
  <c r="AH29" i="6" s="1"/>
  <c r="AJ28" i="6"/>
  <c r="AB30" i="6"/>
  <c r="AF29" i="6"/>
  <c r="M26" i="6"/>
  <c r="L27" i="6"/>
  <c r="AE29" i="6"/>
  <c r="AC30" i="6"/>
  <c r="M27" i="6" l="1"/>
  <c r="L28" i="6"/>
  <c r="AC31" i="6"/>
  <c r="AE30" i="6"/>
  <c r="AJ29" i="6"/>
  <c r="AG29" i="6"/>
  <c r="AH30" i="6" s="1"/>
  <c r="AF30" i="6"/>
  <c r="AB31" i="6"/>
  <c r="AJ30" i="6" l="1"/>
  <c r="AG30" i="6"/>
  <c r="AH31" i="6" s="1"/>
  <c r="M28" i="6"/>
  <c r="L29" i="6"/>
  <c r="AB32" i="6"/>
  <c r="AF31" i="6"/>
  <c r="AE31" i="6"/>
  <c r="AC32" i="6"/>
  <c r="AE32" i="6" l="1"/>
  <c r="AC33" i="6"/>
  <c r="L30" i="6"/>
  <c r="M29" i="6"/>
  <c r="AJ31" i="6"/>
  <c r="AG31" i="6"/>
  <c r="AH32" i="6" s="1"/>
  <c r="AB33" i="6"/>
  <c r="AF32" i="6"/>
  <c r="AJ32" i="6" l="1"/>
  <c r="AG32" i="6"/>
  <c r="AH33" i="6" s="1"/>
  <c r="AC34" i="6"/>
  <c r="AE33" i="6"/>
  <c r="AF33" i="6"/>
  <c r="AB34" i="6"/>
  <c r="M30" i="6"/>
  <c r="L31" i="6"/>
  <c r="L32" i="6" l="1"/>
  <c r="M31" i="6"/>
  <c r="AC35" i="6"/>
  <c r="AE34" i="6"/>
  <c r="AB35" i="6"/>
  <c r="AF34" i="6"/>
  <c r="AG33" i="6"/>
  <c r="AH34" i="6" s="1"/>
  <c r="AJ33" i="6"/>
  <c r="AC36" i="6" l="1"/>
  <c r="AE36" i="6" s="1"/>
  <c r="AE35" i="6"/>
  <c r="AJ34" i="6"/>
  <c r="AG34" i="6"/>
  <c r="AH35" i="6" s="1"/>
  <c r="AB36" i="6"/>
  <c r="AF36" i="6" s="1"/>
  <c r="AF35" i="6"/>
  <c r="M32" i="6"/>
  <c r="L33" i="6"/>
  <c r="AJ35" i="6" l="1"/>
  <c r="AG35" i="6"/>
  <c r="AH36" i="6" s="1"/>
  <c r="AJ36" i="6"/>
  <c r="AG36" i="6"/>
  <c r="L34" i="6"/>
  <c r="M33" i="6"/>
  <c r="M34" i="6" l="1"/>
  <c r="L35" i="6"/>
  <c r="L36" i="6" l="1"/>
  <c r="M36" i="6" s="1"/>
  <c r="M35" i="6"/>
  <c r="M37" i="6" l="1"/>
  <c r="H120" i="1" s="1"/>
  <c r="B14" i="10"/>
</calcChain>
</file>

<file path=xl/sharedStrings.xml><?xml version="1.0" encoding="utf-8"?>
<sst xmlns="http://schemas.openxmlformats.org/spreadsheetml/2006/main" count="15865" uniqueCount="2791">
  <si>
    <t>Pilgersdorf</t>
  </si>
  <si>
    <t>Lockenhaus</t>
  </si>
  <si>
    <t>Rattersdorf-Liebing</t>
  </si>
  <si>
    <t>Mannersdorf an der Rabnitz</t>
  </si>
  <si>
    <t>Oberloisdorf</t>
  </si>
  <si>
    <t>Unterpullendorf</t>
  </si>
  <si>
    <t>Steinberg-Dörfl</t>
  </si>
  <si>
    <t>Stadtschlaining</t>
  </si>
  <si>
    <t>Weiden bei Rechnitz</t>
  </si>
  <si>
    <t>Markt Neuhodis</t>
  </si>
  <si>
    <t>Rechnitz</t>
  </si>
  <si>
    <t>Schachendorf</t>
  </si>
  <si>
    <t>Hannersdorf</t>
  </si>
  <si>
    <t>Deutsch Schützen</t>
  </si>
  <si>
    <t>Rotenturm an der Pinka</t>
  </si>
  <si>
    <t>Großpetersdorf</t>
  </si>
  <si>
    <t>Mischendorf</t>
  </si>
  <si>
    <t>Kohfidisch</t>
  </si>
  <si>
    <t>Eberau</t>
  </si>
  <si>
    <t>Strem</t>
  </si>
  <si>
    <t>Kemeten</t>
  </si>
  <si>
    <t>Litzelsdorf</t>
  </si>
  <si>
    <t>Ollersdorf im Burgenland</t>
  </si>
  <si>
    <t>Olbendorf</t>
  </si>
  <si>
    <t>St. Michael im Burgenland</t>
  </si>
  <si>
    <t>Güssing</t>
  </si>
  <si>
    <t>Gerersdorf bei Güssing</t>
  </si>
  <si>
    <t>Kukmirn</t>
  </si>
  <si>
    <t>Stegersbach</t>
  </si>
  <si>
    <t>Stinatz</t>
  </si>
  <si>
    <t>Heiligenkreuz im Lafnitztal</t>
  </si>
  <si>
    <t>Eltendorf</t>
  </si>
  <si>
    <t>Königsdorf</t>
  </si>
  <si>
    <t>Förderung für Salzburg</t>
  </si>
  <si>
    <t>Förderung für Tirol</t>
  </si>
  <si>
    <t>Förderung für Vorarlberg</t>
  </si>
  <si>
    <t>Mehreinnahmen nach 25 Jahren:</t>
  </si>
  <si>
    <t>Latschach</t>
  </si>
  <si>
    <t>Faak am See</t>
  </si>
  <si>
    <t>Finkenstein</t>
  </si>
  <si>
    <t>Gödersdorf</t>
  </si>
  <si>
    <t>Fürnitz</t>
  </si>
  <si>
    <t>Riegersdorf</t>
  </si>
  <si>
    <t>Arnoldstein</t>
  </si>
  <si>
    <t>Thörl-Maglern</t>
  </si>
  <si>
    <t>Nötsch</t>
  </si>
  <si>
    <t>St. Georgen im Gailtal</t>
  </si>
  <si>
    <t>Feistritz an der Gail</t>
  </si>
  <si>
    <t>Vorderberg</t>
  </si>
  <si>
    <t>Görtschach</t>
  </si>
  <si>
    <t>Hermagor</t>
  </si>
  <si>
    <t>Weißbriach</t>
  </si>
  <si>
    <t>St. Stefan an der Gail</t>
  </si>
  <si>
    <t>Jenig</t>
  </si>
  <si>
    <t>Kirchbach</t>
  </si>
  <si>
    <t>Reisach</t>
  </si>
  <si>
    <t>Gundersheim</t>
  </si>
  <si>
    <t>Dellach</t>
  </si>
  <si>
    <t>Kötschach-Mauthen</t>
  </si>
  <si>
    <t>St. Jakob im Lesachtal</t>
  </si>
  <si>
    <t>Birnbaum</t>
  </si>
  <si>
    <t>Liesing</t>
  </si>
  <si>
    <t>Maria Luggau</t>
  </si>
  <si>
    <t>Rothenthurn</t>
  </si>
  <si>
    <t>Ferndorf</t>
  </si>
  <si>
    <t>Feistritz an der Drau</t>
  </si>
  <si>
    <t>Paternion</t>
  </si>
  <si>
    <t>Fresach</t>
  </si>
  <si>
    <t>Zlan</t>
  </si>
  <si>
    <t>Stockenboi</t>
  </si>
  <si>
    <t>Weißenstein</t>
  </si>
  <si>
    <t>Gummern</t>
  </si>
  <si>
    <t>Sachsenburg</t>
  </si>
  <si>
    <t>Lind im Drautal</t>
  </si>
  <si>
    <t>Steinfeld</t>
  </si>
  <si>
    <t>Greifenburg</t>
  </si>
  <si>
    <t>Weißensee</t>
  </si>
  <si>
    <t>Berg im Drautal</t>
  </si>
  <si>
    <t>Irschen</t>
  </si>
  <si>
    <t>Oberdrauburg</t>
  </si>
  <si>
    <t>Nikolsdorf</t>
  </si>
  <si>
    <t>Gesamtwirkungsgrad:</t>
  </si>
  <si>
    <t>Gesamtfläche:</t>
  </si>
  <si>
    <t>Energieerlös</t>
  </si>
  <si>
    <t>Summen</t>
  </si>
  <si>
    <t>Cash Flow</t>
  </si>
  <si>
    <t>Barwerte</t>
  </si>
  <si>
    <t>Ausgaben</t>
  </si>
  <si>
    <t>[kWh]</t>
  </si>
  <si>
    <t>[kWp]</t>
  </si>
  <si>
    <t>[%]</t>
  </si>
  <si>
    <t>Kapitalwert</t>
  </si>
  <si>
    <t>Prozent Steigerung</t>
  </si>
  <si>
    <t>Ausgangswert</t>
  </si>
  <si>
    <t>Ort des Gebäudes:</t>
  </si>
  <si>
    <t>Obervellach</t>
  </si>
  <si>
    <t>PLZ:</t>
  </si>
  <si>
    <t>kWh/m²a</t>
  </si>
  <si>
    <t>Anlagenleistung:</t>
  </si>
  <si>
    <t>Spezifischer Energieertrag:</t>
  </si>
  <si>
    <t>Ort</t>
  </si>
  <si>
    <t>PLZ</t>
  </si>
  <si>
    <t>Land</t>
  </si>
  <si>
    <t>PLZ-Differenz</t>
  </si>
  <si>
    <t>Jährliche Einstrahlung</t>
  </si>
  <si>
    <t>mittlere Aussentemperatur</t>
  </si>
  <si>
    <t>Längengrad</t>
  </si>
  <si>
    <t>Breitengrad</t>
  </si>
  <si>
    <t>Ermittlung der Einstrahlung</t>
  </si>
  <si>
    <t>[kWh/m²a]</t>
  </si>
  <si>
    <t>[°C]</t>
  </si>
  <si>
    <t>[°]</t>
  </si>
  <si>
    <t>Admont</t>
  </si>
  <si>
    <t>AUT</t>
  </si>
  <si>
    <t xml:space="preserve">    5.86</t>
  </si>
  <si>
    <t>-14.45</t>
  </si>
  <si>
    <t xml:space="preserve"> 47.57</t>
  </si>
  <si>
    <t>Diff:</t>
  </si>
  <si>
    <t>Amstetten</t>
  </si>
  <si>
    <t xml:space="preserve">    8.79</t>
  </si>
  <si>
    <t>-14.83</t>
  </si>
  <si>
    <t xml:space="preserve"> 48.08</t>
  </si>
  <si>
    <t>Einstrahlung</t>
  </si>
  <si>
    <t>Arriach</t>
  </si>
  <si>
    <t xml:space="preserve">    6.46</t>
  </si>
  <si>
    <t>-13.85</t>
  </si>
  <si>
    <t xml:space="preserve"> 46.72</t>
  </si>
  <si>
    <t>Bad Gleichenberg</t>
  </si>
  <si>
    <t xml:space="preserve">    9.14</t>
  </si>
  <si>
    <t>-15.88</t>
  </si>
  <si>
    <t xml:space="preserve"> 46.87</t>
  </si>
  <si>
    <t>Bad Ischl</t>
  </si>
  <si>
    <t xml:space="preserve">    7.90</t>
  </si>
  <si>
    <t>-13.60</t>
  </si>
  <si>
    <t xml:space="preserve"> 47.72</t>
  </si>
  <si>
    <t>Bludenz</t>
  </si>
  <si>
    <t xml:space="preserve">    7.97</t>
  </si>
  <si>
    <t xml:space="preserve"> -9.82</t>
  </si>
  <si>
    <t xml:space="preserve"> 48.50</t>
  </si>
  <si>
    <t>Bruck an der Mur</t>
  </si>
  <si>
    <t xml:space="preserve">    8.07</t>
  </si>
  <si>
    <t>-15.25</t>
  </si>
  <si>
    <t xml:space="preserve"> 47.42</t>
  </si>
  <si>
    <t>Eisenerz</t>
  </si>
  <si>
    <t>Investitionsförderung</t>
  </si>
  <si>
    <t xml:space="preserve">    7.11</t>
  </si>
  <si>
    <t>-14.88</t>
  </si>
  <si>
    <t xml:space="preserve"> 47.53</t>
  </si>
  <si>
    <t>Eisenstadt</t>
  </si>
  <si>
    <t xml:space="preserve">   10.01</t>
  </si>
  <si>
    <t>-16.68</t>
  </si>
  <si>
    <t xml:space="preserve"> 47.90</t>
  </si>
  <si>
    <t>Feldkirch</t>
  </si>
  <si>
    <t xml:space="preserve">    8.30</t>
  </si>
  <si>
    <t xml:space="preserve"> -9.58</t>
  </si>
  <si>
    <t xml:space="preserve"> 47.23</t>
  </si>
  <si>
    <t>Ferlach</t>
  </si>
  <si>
    <t xml:space="preserve">    7.82</t>
  </si>
  <si>
    <t>-14.28</t>
  </si>
  <si>
    <t xml:space="preserve"> 46.52</t>
  </si>
  <si>
    <t>Aktuelle Vergütung für Einspeiser (EVU):</t>
  </si>
  <si>
    <t>Kalkulationszinssatz:</t>
  </si>
  <si>
    <t xml:space="preserve">Fresach </t>
  </si>
  <si>
    <t xml:space="preserve">    7.07</t>
  </si>
  <si>
    <t>-13.68</t>
  </si>
  <si>
    <t xml:space="preserve"> 46.70</t>
  </si>
  <si>
    <t>Gargellen</t>
  </si>
  <si>
    <t xml:space="preserve">    4.42</t>
  </si>
  <si>
    <t xml:space="preserve"> -9.92</t>
  </si>
  <si>
    <t xml:space="preserve"> 46.97</t>
  </si>
  <si>
    <t>Gmunden</t>
  </si>
  <si>
    <t xml:space="preserve">    8.57</t>
  </si>
  <si>
    <t>-13.80</t>
  </si>
  <si>
    <t xml:space="preserve"> 47.92</t>
  </si>
  <si>
    <t>Graz</t>
  </si>
  <si>
    <t xml:space="preserve">    9.17</t>
  </si>
  <si>
    <t>-15.42</t>
  </si>
  <si>
    <t xml:space="preserve"> 47.67</t>
  </si>
  <si>
    <t>Gumpoldskirchen</t>
  </si>
  <si>
    <t xml:space="preserve">    9.11</t>
  </si>
  <si>
    <t>-16.27</t>
  </si>
  <si>
    <t xml:space="preserve"> 48.33</t>
  </si>
  <si>
    <t>Hallstadt</t>
  </si>
  <si>
    <t xml:space="preserve">    8.00</t>
  </si>
  <si>
    <t>-13.63</t>
  </si>
  <si>
    <t xml:space="preserve"> 47.55</t>
  </si>
  <si>
    <t>Imst</t>
  </si>
  <si>
    <t xml:space="preserve">    7.31</t>
  </si>
  <si>
    <t>-10.72</t>
  </si>
  <si>
    <t>Innsbruck</t>
  </si>
  <si>
    <t xml:space="preserve">    8.61</t>
  </si>
  <si>
    <t>-11.40</t>
  </si>
  <si>
    <t xml:space="preserve"> 47.27</t>
  </si>
  <si>
    <t>Kitzbuehl</t>
  </si>
  <si>
    <t xml:space="preserve">    6.19</t>
  </si>
  <si>
    <t>-12.38</t>
  </si>
  <si>
    <t xml:space="preserve"> 47.45</t>
  </si>
  <si>
    <t>Klagenfurt</t>
  </si>
  <si>
    <t xml:space="preserve">    8.14</t>
  </si>
  <si>
    <t>-14.30</t>
  </si>
  <si>
    <t xml:space="preserve"> 46.62</t>
  </si>
  <si>
    <t>Krems a. d. Donau</t>
  </si>
  <si>
    <t xml:space="preserve">    9.62</t>
  </si>
  <si>
    <t>-15.58</t>
  </si>
  <si>
    <t>Kremsmünster</t>
  </si>
  <si>
    <t xml:space="preserve">    7.69</t>
  </si>
  <si>
    <t>-14.12</t>
  </si>
  <si>
    <t xml:space="preserve"> 48.05</t>
  </si>
  <si>
    <t>Leoben</t>
  </si>
  <si>
    <t>-15.83</t>
  </si>
  <si>
    <t xml:space="preserve"> 47.37</t>
  </si>
  <si>
    <t>Lienz</t>
  </si>
  <si>
    <t xml:space="preserve">    7.41</t>
  </si>
  <si>
    <t>-12.80</t>
  </si>
  <si>
    <t xml:space="preserve"> 46.83</t>
  </si>
  <si>
    <t>Lilienfeld</t>
  </si>
  <si>
    <t xml:space="preserve">    8.36</t>
  </si>
  <si>
    <t>-15.62</t>
  </si>
  <si>
    <t xml:space="preserve"> 48.17</t>
  </si>
  <si>
    <t>Millstatt</t>
  </si>
  <si>
    <t xml:space="preserve">    8.67</t>
  </si>
  <si>
    <t>-13.57</t>
  </si>
  <si>
    <t xml:space="preserve"> 46.80</t>
  </si>
  <si>
    <t>Mondsee</t>
  </si>
  <si>
    <t xml:space="preserve">    7.84</t>
  </si>
  <si>
    <t>-13.33</t>
  </si>
  <si>
    <t xml:space="preserve"> 47.85</t>
  </si>
  <si>
    <t>Mönichkirchen</t>
  </si>
  <si>
    <t xml:space="preserve">    6.25</t>
  </si>
  <si>
    <t>-16.17</t>
  </si>
  <si>
    <t xml:space="preserve"> 47.50</t>
  </si>
  <si>
    <t>Nauders</t>
  </si>
  <si>
    <t xml:space="preserve">    4.71</t>
  </si>
  <si>
    <t>-10.50</t>
  </si>
  <si>
    <t xml:space="preserve"> 46.88</t>
  </si>
  <si>
    <t>Neumarkt in der Steiermark</t>
  </si>
  <si>
    <t xml:space="preserve">    6.39</t>
  </si>
  <si>
    <t>-14.42</t>
  </si>
  <si>
    <t xml:space="preserve">    8.44</t>
  </si>
  <si>
    <t>-13.20</t>
  </si>
  <si>
    <t xml:space="preserve"> 46.93</t>
  </si>
  <si>
    <t>Oberwölz Stadt</t>
  </si>
  <si>
    <t xml:space="preserve">    6.20</t>
  </si>
  <si>
    <t>-14.27</t>
  </si>
  <si>
    <t xml:space="preserve"> 47.20</t>
  </si>
  <si>
    <t>Radentheim</t>
  </si>
  <si>
    <t xml:space="preserve">    7.53</t>
  </si>
  <si>
    <t>-13.70</t>
  </si>
  <si>
    <t>Ramsau Dachstein</t>
  </si>
  <si>
    <t xml:space="preserve">    5.16</t>
  </si>
  <si>
    <t>-12.88</t>
  </si>
  <si>
    <t xml:space="preserve"> 47.60</t>
  </si>
  <si>
    <t>Rauris</t>
  </si>
  <si>
    <t xml:space="preserve">    5.82</t>
  </si>
  <si>
    <t>-12.98</t>
  </si>
  <si>
    <t>Reichersberg</t>
  </si>
  <si>
    <t xml:space="preserve">    8.48</t>
  </si>
  <si>
    <t>-13.37</t>
  </si>
  <si>
    <t>Reichraming</t>
  </si>
  <si>
    <t xml:space="preserve">    8.13</t>
  </si>
  <si>
    <t xml:space="preserve"> 47.88</t>
  </si>
  <si>
    <t>Salzburg</t>
  </si>
  <si>
    <t xml:space="preserve">    8.39</t>
  </si>
  <si>
    <t xml:space="preserve"> 47.82</t>
  </si>
  <si>
    <t>St. Lorenzen im Lesachtal</t>
  </si>
  <si>
    <t xml:space="preserve">    5.73</t>
  </si>
  <si>
    <t xml:space="preserve"> 12.77</t>
  </si>
  <si>
    <t>St. Michael i. Lundgau</t>
  </si>
  <si>
    <t xml:space="preserve">    6.55</t>
  </si>
  <si>
    <t>-13.48</t>
  </si>
  <si>
    <t xml:space="preserve"> 47.83</t>
  </si>
  <si>
    <t>St. Pölten</t>
  </si>
  <si>
    <t xml:space="preserve">    8.59</t>
  </si>
  <si>
    <t>-15.60</t>
  </si>
  <si>
    <t xml:space="preserve"> 48.20</t>
  </si>
  <si>
    <t>Velden am Wörtersee</t>
  </si>
  <si>
    <t xml:space="preserve">    8.04</t>
  </si>
  <si>
    <t>-14.33</t>
  </si>
  <si>
    <t>Villach</t>
  </si>
  <si>
    <t>-13.83</t>
  </si>
  <si>
    <t>Wels</t>
  </si>
  <si>
    <t>-14.17</t>
  </si>
  <si>
    <t>Weyer Mark</t>
  </si>
  <si>
    <t xml:space="preserve">    7.58</t>
  </si>
  <si>
    <t>-14.65</t>
  </si>
  <si>
    <t>Neigung:</t>
  </si>
  <si>
    <t>Wels Postfach</t>
  </si>
  <si>
    <t>Thalheim bei Wels</t>
  </si>
  <si>
    <t>Buchkirchen</t>
  </si>
  <si>
    <t>Scharten</t>
  </si>
  <si>
    <t>Mistelbach bei Wels</t>
  </si>
  <si>
    <t>Marchtrenk</t>
  </si>
  <si>
    <t>Holzhausen</t>
  </si>
  <si>
    <t>Weißkirchen</t>
  </si>
  <si>
    <t>Sipbachzell</t>
  </si>
  <si>
    <t>Eggendorf im Traunkreis</t>
  </si>
  <si>
    <t>Gunskirchen</t>
  </si>
  <si>
    <t>Pennewang</t>
  </si>
  <si>
    <t>Offenhausen</t>
  </si>
  <si>
    <t>Krenglbach</t>
  </si>
  <si>
    <t>Pichl bei Wels</t>
  </si>
  <si>
    <t>Kematen am Innbach</t>
  </si>
  <si>
    <t>Steinhaus</t>
  </si>
  <si>
    <t>Sattledt</t>
  </si>
  <si>
    <t>Pettenbach</t>
  </si>
  <si>
    <t>Scharnstein</t>
  </si>
  <si>
    <t>Grünau im Almtal</t>
  </si>
  <si>
    <t>Lambach</t>
  </si>
  <si>
    <t>Stadl-Paura</t>
  </si>
  <si>
    <t>Steinerkirchen an der Traun</t>
  </si>
  <si>
    <t>Eberstalzell</t>
  </si>
  <si>
    <t>Bad Wimsbach-Neydharting</t>
  </si>
  <si>
    <t>Vorchdorf</t>
  </si>
  <si>
    <t>Kirchham</t>
  </si>
  <si>
    <t>Roitham</t>
  </si>
  <si>
    <t>Steyrermühl</t>
  </si>
  <si>
    <t>Laakirchen</t>
  </si>
  <si>
    <t>Oberweis</t>
  </si>
  <si>
    <t>Neukirchen bei Lambach</t>
  </si>
  <si>
    <t>Bachmanning</t>
  </si>
  <si>
    <t>Gaspoltshofen</t>
  </si>
  <si>
    <t>Altenhof am Hausruck</t>
  </si>
  <si>
    <t>Weibern</t>
  </si>
  <si>
    <t>Aistersheim</t>
  </si>
  <si>
    <t>Haag am Hausruck</t>
  </si>
  <si>
    <t>Rottenbach</t>
  </si>
  <si>
    <t>Geboltskirchen</t>
  </si>
  <si>
    <t>Schwanenstadt</t>
  </si>
  <si>
    <t>Breitenschützing</t>
  </si>
  <si>
    <t>Niederthalheim</t>
  </si>
  <si>
    <t>Desselbrunn</t>
  </si>
  <si>
    <t>Ohlsdorf</t>
  </si>
  <si>
    <t>Bad Schallerbach</t>
  </si>
  <si>
    <t>Wallern an der Trattnach</t>
  </si>
  <si>
    <t>Schlüßlberg</t>
  </si>
  <si>
    <t>Grieskirchen</t>
  </si>
  <si>
    <t>Michaelnbach</t>
  </si>
  <si>
    <t>Gallspach</t>
  </si>
  <si>
    <t>Meggenhofen</t>
  </si>
  <si>
    <t>Taufkirchen an der Trattnach</t>
  </si>
  <si>
    <t>Hofkirchen an der Trattnach</t>
  </si>
  <si>
    <t>Neumarkt im Hausruckkreis</t>
  </si>
  <si>
    <t>Altschwendt</t>
  </si>
  <si>
    <t>Peuerbach</t>
  </si>
  <si>
    <t>Natternbach</t>
  </si>
  <si>
    <t>Neukirchen am Walde</t>
  </si>
  <si>
    <t>St. Aegidi</t>
  </si>
  <si>
    <t>Waizenkirchen</t>
  </si>
  <si>
    <t>Prambachkirchen</t>
  </si>
  <si>
    <t>Heiligenberg</t>
  </si>
  <si>
    <t>Wendling</t>
  </si>
  <si>
    <t>Pram</t>
  </si>
  <si>
    <t>Peterskirchen</t>
  </si>
  <si>
    <t>Dorf</t>
  </si>
  <si>
    <t>Riedau</t>
  </si>
  <si>
    <t>Taiskirchen im Innkreis</t>
  </si>
  <si>
    <t>Andrichsfurt</t>
  </si>
  <si>
    <t>Zell an der Pram</t>
  </si>
  <si>
    <t>Raab</t>
  </si>
  <si>
    <t>Enzenkirchen</t>
  </si>
  <si>
    <t>St. Willibald</t>
  </si>
  <si>
    <t>Andorf</t>
  </si>
  <si>
    <t>Sigharting</t>
  </si>
  <si>
    <t>Lambrechten</t>
  </si>
  <si>
    <t>Eggerding</t>
  </si>
  <si>
    <t>St. Marienkirchen bei Schärding</t>
  </si>
  <si>
    <t>Taufkirchen an der Pram</t>
  </si>
  <si>
    <t>Diersbach</t>
  </si>
  <si>
    <t>Mayrhof</t>
  </si>
  <si>
    <t>Schärding</t>
  </si>
  <si>
    <t>St. Florian am Inn</t>
  </si>
  <si>
    <t>Wernstein am Inn</t>
  </si>
  <si>
    <t>Schardenberg</t>
  </si>
  <si>
    <t>Freinberg</t>
  </si>
  <si>
    <t>Brunnenthal</t>
  </si>
  <si>
    <t>Rainbach im Innkreis</t>
  </si>
  <si>
    <t>Münzkirchen</t>
  </si>
  <si>
    <t>St. Roman</t>
  </si>
  <si>
    <t>Kopfing im Innkreis</t>
  </si>
  <si>
    <t>Attnang-Puchheim</t>
  </si>
  <si>
    <t>Traunkirchen</t>
  </si>
  <si>
    <t>Ebensee</t>
  </si>
  <si>
    <t>Pinsdorf</t>
  </si>
  <si>
    <t>Altmünster</t>
  </si>
  <si>
    <t>Neukirchen</t>
  </si>
  <si>
    <t>Ort bei Gmunden</t>
  </si>
  <si>
    <t>Gschwandt</t>
  </si>
  <si>
    <t>St. Konrad</t>
  </si>
  <si>
    <t>Lauffen</t>
  </si>
  <si>
    <t>Bad Goisern</t>
  </si>
  <si>
    <t>Steeg</t>
  </si>
  <si>
    <t>Gosau</t>
  </si>
  <si>
    <t>Gosau-Hintertal</t>
  </si>
  <si>
    <t>Hallstatt</t>
  </si>
  <si>
    <t>Obertraun</t>
  </si>
  <si>
    <t>Vöcklabruck</t>
  </si>
  <si>
    <t>Ungenach</t>
  </si>
  <si>
    <t>Zell am Pettenfirst</t>
  </si>
  <si>
    <t>Ampflwang</t>
  </si>
  <si>
    <t>Regau</t>
  </si>
  <si>
    <t>Rutzenmoos</t>
  </si>
  <si>
    <t>Timelkam</t>
  </si>
  <si>
    <t>Gampern</t>
  </si>
  <si>
    <t>Weyregg am Attersee</t>
  </si>
  <si>
    <t>Steinbach am Attersee</t>
  </si>
  <si>
    <t>Weißenbach</t>
  </si>
  <si>
    <t>Lenzing</t>
  </si>
  <si>
    <t>Schörfling</t>
  </si>
  <si>
    <t>Seewalchen am Attersee</t>
  </si>
  <si>
    <t>Attersee</t>
  </si>
  <si>
    <t>Nußdorf am Attersee</t>
  </si>
  <si>
    <t>Unterach</t>
  </si>
  <si>
    <t>Vöcklamarkt</t>
  </si>
  <si>
    <t>Zipf</t>
  </si>
  <si>
    <t>Neukirchen an der Vöckla</t>
  </si>
  <si>
    <t>Frankenburg am Hausruck</t>
  </si>
  <si>
    <t>Pramet</t>
  </si>
  <si>
    <t>PLZ-Historisch</t>
  </si>
  <si>
    <t>intern</t>
  </si>
  <si>
    <t>St. Georgen im Attergau</t>
  </si>
  <si>
    <t>Straß im Attergau</t>
  </si>
  <si>
    <t>Oberwang</t>
  </si>
  <si>
    <t>Frankenmarkt</t>
  </si>
  <si>
    <t>Pöndorf</t>
  </si>
  <si>
    <t>Fornach</t>
  </si>
  <si>
    <t>Zell am Moos</t>
  </si>
  <si>
    <t>Oberhofen am Irrsee</t>
  </si>
  <si>
    <t>Ottnang</t>
  </si>
  <si>
    <t>Wolfsegg am Hausruck</t>
  </si>
  <si>
    <t>Atzbach</t>
  </si>
  <si>
    <t>Thomasroith</t>
  </si>
  <si>
    <t>Eberschwang</t>
  </si>
  <si>
    <t>Ried im Innkreis</t>
  </si>
  <si>
    <t>Neuhofen im Innkreis</t>
  </si>
  <si>
    <t>Schildorn</t>
  </si>
  <si>
    <t>Hohenzell</t>
  </si>
  <si>
    <t>Geiersberg</t>
  </si>
  <si>
    <t>Lohnsburg</t>
  </si>
  <si>
    <t>Waldzell</t>
  </si>
  <si>
    <t>St. Marienkirchen am Hausruck</t>
  </si>
  <si>
    <t>Mettmach</t>
  </si>
  <si>
    <t>Kirchheim im Innkreis</t>
  </si>
  <si>
    <t>Wildenau</t>
  </si>
  <si>
    <t>Mehrnbach</t>
  </si>
  <si>
    <t>Gurten</t>
  </si>
  <si>
    <t>Geinberg</t>
  </si>
  <si>
    <t>Altheim</t>
  </si>
  <si>
    <t>Polling im Innkreis</t>
  </si>
  <si>
    <t>Weng im Innkreis</t>
  </si>
  <si>
    <t>Mühlheim am Inn</t>
  </si>
  <si>
    <t>Mining</t>
  </si>
  <si>
    <t>St. Peter am Hart</t>
  </si>
  <si>
    <t>Eitzing</t>
  </si>
  <si>
    <t>Aurolzmünster</t>
  </si>
  <si>
    <t>Utzenaich</t>
  </si>
  <si>
    <t>Ort im Innkreis</t>
  </si>
  <si>
    <t>Suben</t>
  </si>
  <si>
    <t>Antiesenhofen</t>
  </si>
  <si>
    <t>St. Veit an der Gölsen</t>
  </si>
  <si>
    <t>Rainfeld</t>
  </si>
  <si>
    <t>Rohrbach</t>
  </si>
  <si>
    <t>Hainfeld</t>
  </si>
  <si>
    <t>Kleinzell-Salzerbad</t>
  </si>
  <si>
    <t>Ramsau</t>
  </si>
  <si>
    <t>Marktl, Traisental</t>
  </si>
  <si>
    <t>Freiland</t>
  </si>
  <si>
    <t>Türnitz</t>
  </si>
  <si>
    <t>Hohenberg</t>
  </si>
  <si>
    <t>St. Aegyd am Neuwalde</t>
  </si>
  <si>
    <t>Kernhof</t>
  </si>
  <si>
    <t>Ober-Grafendorf</t>
  </si>
  <si>
    <t>Hofstetten</t>
  </si>
  <si>
    <t>Rabenstein an der Pielach</t>
  </si>
  <si>
    <t>Kirchberg an der Pielach</t>
  </si>
  <si>
    <t>Loich</t>
  </si>
  <si>
    <t>Schwarzenbach an der Pielach</t>
  </si>
  <si>
    <t>Frankenfels</t>
  </si>
  <si>
    <t>Puchenstuben</t>
  </si>
  <si>
    <t>Gösing an der Mariazellerbahn</t>
  </si>
  <si>
    <t>Annaberg</t>
  </si>
  <si>
    <t>Wienerbruck</t>
  </si>
  <si>
    <t>Mitterbach</t>
  </si>
  <si>
    <t>St. Margarethen an der Sierning</t>
  </si>
  <si>
    <t>Bischofstetten</t>
  </si>
  <si>
    <t>Kilb</t>
  </si>
  <si>
    <t>Mank</t>
  </si>
  <si>
    <t>Kirnberg an der Mank</t>
  </si>
  <si>
    <t>Texing</t>
  </si>
  <si>
    <t>St. Leonhard am Forst</t>
  </si>
  <si>
    <t>Ruprechtshofen</t>
  </si>
  <si>
    <t>Wieselburg</t>
  </si>
  <si>
    <t>Purgstall</t>
  </si>
  <si>
    <t>Petzenkirchen</t>
  </si>
  <si>
    <t>Erlauf</t>
  </si>
  <si>
    <t>Steinakirchen am Forst</t>
  </si>
  <si>
    <t>Wang</t>
  </si>
  <si>
    <t>Randegg</t>
  </si>
  <si>
    <t>Gresten</t>
  </si>
  <si>
    <t>Scheibbs</t>
  </si>
  <si>
    <t>Oberndorf an der Melk</t>
  </si>
  <si>
    <t>St. Georgen an der Leys</t>
  </si>
  <si>
    <t>St. Anton an der Jeßnitz</t>
  </si>
  <si>
    <t>Kienberg</t>
  </si>
  <si>
    <t>Gaming</t>
  </si>
  <si>
    <t>Lunz am See</t>
  </si>
  <si>
    <t>Lackenhof</t>
  </si>
  <si>
    <t>Amstetten, Niederösterreich</t>
  </si>
  <si>
    <t>St. Georgen am Ybbsfelde</t>
  </si>
  <si>
    <t>Zeillern</t>
  </si>
  <si>
    <t>Wallsee</t>
  </si>
  <si>
    <t>Strengberg</t>
  </si>
  <si>
    <t>Ardagger</t>
  </si>
  <si>
    <t>Viehdorf</t>
  </si>
  <si>
    <t>Neustadtl an der Donau</t>
  </si>
  <si>
    <t>Euratsfeld</t>
  </si>
  <si>
    <t>Ferschnitz</t>
  </si>
  <si>
    <t>Kematen</t>
  </si>
  <si>
    <t>Rosenau am Sonntagberg</t>
  </si>
  <si>
    <t>Böhlerwerk</t>
  </si>
  <si>
    <t>Gaflenz</t>
  </si>
  <si>
    <t>O</t>
  </si>
  <si>
    <t>Weyer</t>
  </si>
  <si>
    <t>Waidhofen an der Ybbs</t>
  </si>
  <si>
    <t>Ybbsitz</t>
  </si>
  <si>
    <t>Opponitz</t>
  </si>
  <si>
    <t>Hollenstein an der Ybbs</t>
  </si>
  <si>
    <t>St. Georgen am Reith</t>
  </si>
  <si>
    <t>Göstling an der Ybbs</t>
  </si>
  <si>
    <t>Haag</t>
  </si>
  <si>
    <t>Weistrach</t>
  </si>
  <si>
    <t>St. Peter in der Au</t>
  </si>
  <si>
    <t>Seitenstetten</t>
  </si>
  <si>
    <t>Wolfsbach</t>
  </si>
  <si>
    <t>Ertl</t>
  </si>
  <si>
    <t>Aschbach Markt</t>
  </si>
  <si>
    <t>Mauer-Öhling</t>
  </si>
  <si>
    <t>Ulmerfeld-Hausmening</t>
  </si>
  <si>
    <t>Neuhofen an der Ybbs</t>
  </si>
  <si>
    <t>Albrechtsberg an der Großen Krems</t>
  </si>
  <si>
    <t>Spitz</t>
  </si>
  <si>
    <t>Mitterarnsdorf</t>
  </si>
  <si>
    <t>Mühldorf</t>
  </si>
  <si>
    <t>Kottes</t>
  </si>
  <si>
    <t>Ottenschlag</t>
  </si>
  <si>
    <t>Traunstein</t>
  </si>
  <si>
    <t>Schönbach</t>
  </si>
  <si>
    <t>Aggsbach Markt</t>
  </si>
  <si>
    <t>Aggsbach Dorf</t>
  </si>
  <si>
    <t>Maria Laach am Jauerling</t>
  </si>
  <si>
    <t>Emmersdorf an der Donau</t>
  </si>
  <si>
    <t>Pöggstall</t>
  </si>
  <si>
    <t>Leiben</t>
  </si>
  <si>
    <t>Weiten</t>
  </si>
  <si>
    <t>Raxendorf</t>
  </si>
  <si>
    <t>Klein-Pöchlarn</t>
  </si>
  <si>
    <t>Artstetten</t>
  </si>
  <si>
    <t>Münichreith</t>
  </si>
  <si>
    <t>Laimbach am Ostrong</t>
  </si>
  <si>
    <t>Martinsberg</t>
  </si>
  <si>
    <t>Gutenbrunn</t>
  </si>
  <si>
    <t>Marbach an der Donau</t>
  </si>
  <si>
    <t>Maria Taferl</t>
  </si>
  <si>
    <t>Persenbeug</t>
  </si>
  <si>
    <t>Yspertal</t>
  </si>
  <si>
    <t>St. Oswald</t>
  </si>
  <si>
    <t>Nöchling</t>
  </si>
  <si>
    <t>Großweikersdorf</t>
  </si>
  <si>
    <t>Niederrußbach</t>
  </si>
  <si>
    <t>Glaubendorf</t>
  </si>
  <si>
    <t>Ziersdorf</t>
  </si>
  <si>
    <t>Großmeiseldorf</t>
  </si>
  <si>
    <t>Maissau</t>
  </si>
  <si>
    <t>Harmannsdorf</t>
  </si>
  <si>
    <t>Sitzendorf an der Schmida</t>
  </si>
  <si>
    <t>Ravelsbach</t>
  </si>
  <si>
    <t>Limberg</t>
  </si>
  <si>
    <t>Straning</t>
  </si>
  <si>
    <t>Eggenburg</t>
  </si>
  <si>
    <t>Pulkau</t>
  </si>
  <si>
    <t>Theras</t>
  </si>
  <si>
    <t>Röschitz</t>
  </si>
  <si>
    <t>Stockern</t>
  </si>
  <si>
    <t>Sigmundsherberg</t>
  </si>
  <si>
    <t>Walkenstein</t>
  </si>
  <si>
    <t>Hötzelsdorf</t>
  </si>
  <si>
    <t>Irnfritz</t>
  </si>
  <si>
    <t>Messern</t>
  </si>
  <si>
    <t>Ludweis</t>
  </si>
  <si>
    <t>Japons</t>
  </si>
  <si>
    <t>Göpfritz an der Wild</t>
  </si>
  <si>
    <t>Allentsteig</t>
  </si>
  <si>
    <t>Kirchberg an der Wild</t>
  </si>
  <si>
    <t>Groß Siegharts</t>
  </si>
  <si>
    <t>Dietmanns</t>
  </si>
  <si>
    <t>Aigen</t>
  </si>
  <si>
    <t>Raabs an der Thaya</t>
  </si>
  <si>
    <t>Karlstein an der Thaya</t>
  </si>
  <si>
    <t>Weikertschlag an der Thaya</t>
  </si>
  <si>
    <t>Großau</t>
  </si>
  <si>
    <t>Waidhofen an der Thaya</t>
  </si>
  <si>
    <t>Pfaffenschlag bei Waidhofen an der Thaya</t>
  </si>
  <si>
    <t>Windigsteig</t>
  </si>
  <si>
    <t>Thaya</t>
  </si>
  <si>
    <t>Dobersberg</t>
  </si>
  <si>
    <t>Waldkirchen an der Thaya</t>
  </si>
  <si>
    <t>Fördertarif 1</t>
  </si>
  <si>
    <t>Überschusseinspeisung nach Förderung</t>
  </si>
  <si>
    <t>Bezugstarif</t>
  </si>
  <si>
    <t>&lt;=5</t>
  </si>
  <si>
    <t>Kautzen</t>
  </si>
  <si>
    <t>Gastern</t>
  </si>
  <si>
    <t>Heidenreichstein</t>
  </si>
  <si>
    <t>Eggern</t>
  </si>
  <si>
    <t>Eisgarn</t>
  </si>
  <si>
    <t>Reingers</t>
  </si>
  <si>
    <t>Nagelberg</t>
  </si>
  <si>
    <t>Langegg</t>
  </si>
  <si>
    <t>Brand</t>
  </si>
  <si>
    <t>Litschau</t>
  </si>
  <si>
    <t>Schwarzenau</t>
  </si>
  <si>
    <t>Vitis</t>
  </si>
  <si>
    <t>Echsenbach</t>
  </si>
  <si>
    <t>Rappottenstein</t>
  </si>
  <si>
    <t>Grafenschlag</t>
  </si>
  <si>
    <t>Großgöttfritz</t>
  </si>
  <si>
    <t>Waldhausen</t>
  </si>
  <si>
    <t>Groß Gerungs</t>
  </si>
  <si>
    <t>Langschlag</t>
  </si>
  <si>
    <t>Großschönau</t>
  </si>
  <si>
    <t>Jagenbach</t>
  </si>
  <si>
    <t>Rosenau Schloß</t>
  </si>
  <si>
    <t>Arbesbach</t>
  </si>
  <si>
    <t>Schweiggers</t>
  </si>
  <si>
    <t>Kirchberg am Walde</t>
  </si>
  <si>
    <t>Hirschbach</t>
  </si>
  <si>
    <t>Schrems</t>
  </si>
  <si>
    <t>Pürbach</t>
  </si>
  <si>
    <t>Hoheneich</t>
  </si>
  <si>
    <t>Gmünd</t>
  </si>
  <si>
    <t>Waldenstein</t>
  </si>
  <si>
    <t>Heinrichs bei Weitra</t>
  </si>
  <si>
    <t>Weitra</t>
  </si>
  <si>
    <t>St. Martin</t>
  </si>
  <si>
    <t>Bad Großpertholz</t>
  </si>
  <si>
    <t>Karlstift</t>
  </si>
  <si>
    <t>Linz, Donau</t>
  </si>
  <si>
    <t>Linz</t>
  </si>
  <si>
    <t>Linz, Donau Postfach</t>
  </si>
  <si>
    <t>Ledenitzen</t>
  </si>
  <si>
    <t>Haibach ob der Donau</t>
  </si>
  <si>
    <t>St. Agatha</t>
  </si>
  <si>
    <t>Wesenufer</t>
  </si>
  <si>
    <t>Engelhartszell</t>
  </si>
  <si>
    <t>Vichtenstein</t>
  </si>
  <si>
    <t>Esternberg</t>
  </si>
  <si>
    <t>Ottensheim</t>
  </si>
  <si>
    <t>Feldkirchen an der Donau</t>
  </si>
  <si>
    <t>Walding</t>
  </si>
  <si>
    <t>Rottenegg</t>
  </si>
  <si>
    <t>St. Martin im Mühlkreis</t>
  </si>
  <si>
    <t>Neuhaus an der Donau</t>
  </si>
  <si>
    <t>Kleinzell im Mühlkreis</t>
  </si>
  <si>
    <t>Neufelden</t>
  </si>
  <si>
    <t>Altenfelden</t>
  </si>
  <si>
    <t>Arnreit</t>
  </si>
  <si>
    <t>Obermühl</t>
  </si>
  <si>
    <t>Obernberg am Inn</t>
  </si>
  <si>
    <t>St. Georgen bei Obernberg am Inn</t>
  </si>
  <si>
    <t>Weilbach</t>
  </si>
  <si>
    <t>Sa</t>
  </si>
  <si>
    <t>Salzburg-Liefering</t>
  </si>
  <si>
    <t>Salzburg-Europark</t>
  </si>
  <si>
    <t>Salzburg Postfach</t>
  </si>
  <si>
    <t>Salzburg-Gnigl</t>
  </si>
  <si>
    <t>Salzburg-Parsch</t>
  </si>
  <si>
    <t>Salzburg-Aigen</t>
  </si>
  <si>
    <t>Salzburg-Kasern</t>
  </si>
  <si>
    <t>Tarifförderung</t>
  </si>
  <si>
    <t>Förderungsanteil</t>
  </si>
  <si>
    <t>&gt; 5 - 20 kWp</t>
  </si>
  <si>
    <t>&gt; 20 kWp</t>
  </si>
  <si>
    <t>Mischpreis aus Markt/EVU und Eigenverbrauch</t>
  </si>
  <si>
    <t>&lt;= 5 kWp</t>
  </si>
  <si>
    <t>Markt/EVU</t>
  </si>
  <si>
    <t>Sonstige Förderungen (z.B.: Gemeinde)</t>
  </si>
  <si>
    <t>Salzburg-Morzg</t>
  </si>
  <si>
    <t>Elsbethen-Glasenbach</t>
  </si>
  <si>
    <t>Wals</t>
  </si>
  <si>
    <t>Siezenheim</t>
  </si>
  <si>
    <t>Wals-Himmelreich</t>
  </si>
  <si>
    <t>Anif</t>
  </si>
  <si>
    <t>Grödig</t>
  </si>
  <si>
    <t>Gartenau-St. Leonhard</t>
  </si>
  <si>
    <t>Großgmain</t>
  </si>
  <si>
    <t>Niederalm</t>
  </si>
  <si>
    <t>Lofer</t>
  </si>
  <si>
    <t>Unken</t>
  </si>
  <si>
    <t>St. Martin bei Lofer</t>
  </si>
  <si>
    <t>Weißbach bei Lofer</t>
  </si>
  <si>
    <t>Bergheim</t>
  </si>
  <si>
    <t>Anthering</t>
  </si>
  <si>
    <t>Oberndorf bei Salzburg</t>
  </si>
  <si>
    <t>Bürmoos</t>
  </si>
  <si>
    <t>Lamprechtshausen</t>
  </si>
  <si>
    <t>St. Georgen bei Salzburg</t>
  </si>
  <si>
    <t>Göming</t>
  </si>
  <si>
    <t>Ostermiething</t>
  </si>
  <si>
    <t>Ach</t>
  </si>
  <si>
    <t>Franking</t>
  </si>
  <si>
    <t>Geretsberg</t>
  </si>
  <si>
    <t>Gilgenberg am Weilhart</t>
  </si>
  <si>
    <t>Schwand im Innkreis</t>
  </si>
  <si>
    <t>Moosdorf</t>
  </si>
  <si>
    <t>Eggelsberg</t>
  </si>
  <si>
    <t>Feldkirchen bei Mattighofen</t>
  </si>
  <si>
    <t>Handenberg</t>
  </si>
  <si>
    <t>Neukirchen an der Enknach</t>
  </si>
  <si>
    <t>Nußdorf am Haunsberg</t>
  </si>
  <si>
    <t>Michaelbeuern</t>
  </si>
  <si>
    <t>Elixhausen</t>
  </si>
  <si>
    <t>Obertrum am See</t>
  </si>
  <si>
    <t>Mattsee</t>
  </si>
  <si>
    <t>Seeham</t>
  </si>
  <si>
    <t>Berndorf bei Salzburg</t>
  </si>
  <si>
    <t>Seekirchen</t>
  </si>
  <si>
    <t>Neumarkt am Wallersee</t>
  </si>
  <si>
    <t>Köstendorf</t>
  </si>
  <si>
    <t>Straßwalchen</t>
  </si>
  <si>
    <t>Schleedorf</t>
  </si>
  <si>
    <t>Friedburg</t>
  </si>
  <si>
    <t>Schneegattern</t>
  </si>
  <si>
    <t>Lochen</t>
  </si>
  <si>
    <t>Munderfing</t>
  </si>
  <si>
    <t>Pfaffstätt</t>
  </si>
  <si>
    <t>Auerbach</t>
  </si>
  <si>
    <t>Jeging</t>
  </si>
  <si>
    <t>Mattighofen</t>
  </si>
  <si>
    <t>Schalchen</t>
  </si>
  <si>
    <t>Zuordnung der PLZ und des Ortes (Bundesland):</t>
  </si>
  <si>
    <t>St. Jakob</t>
  </si>
  <si>
    <t>Sinabelkirchen</t>
  </si>
  <si>
    <t>Ilz</t>
  </si>
  <si>
    <t>Großwilfersdorf</t>
  </si>
  <si>
    <t>Hainersdorf</t>
  </si>
  <si>
    <t>Großsteinbach</t>
  </si>
  <si>
    <t>Bad Waltersdorf</t>
  </si>
  <si>
    <t>Sebersdorf</t>
  </si>
  <si>
    <t>Ebersdorf</t>
  </si>
  <si>
    <t>Buch</t>
  </si>
  <si>
    <t>Fürstenfeld</t>
  </si>
  <si>
    <t>Loipersdorf bei Fürstenfeld</t>
  </si>
  <si>
    <t>Bad Blumau</t>
  </si>
  <si>
    <t>Burgau</t>
  </si>
  <si>
    <t>Neudau</t>
  </si>
  <si>
    <t>Wörth an der Lafnitz</t>
  </si>
  <si>
    <t>Unterrohr</t>
  </si>
  <si>
    <t>St. Johann in der Haide</t>
  </si>
  <si>
    <t>Laßnitzhöhe</t>
  </si>
  <si>
    <t>Nestelbach bei Graz</t>
  </si>
  <si>
    <t>Markt Hartmannsdorf</t>
  </si>
  <si>
    <t>Ottendorf an der Rittschein</t>
  </si>
  <si>
    <t>Breitenfeld an der Rittschein</t>
  </si>
  <si>
    <t>St. Margarethen an der Raab</t>
  </si>
  <si>
    <t>Studenzen</t>
  </si>
  <si>
    <t>St. Marein bei Graz</t>
  </si>
  <si>
    <t>Kirchberg an der Raab</t>
  </si>
  <si>
    <t>Feldbach</t>
  </si>
  <si>
    <t>Edelsbach bei Feldbach</t>
  </si>
  <si>
    <t>Lödersdorf</t>
  </si>
  <si>
    <t>Paldau</t>
  </si>
  <si>
    <t>Gnas</t>
  </si>
  <si>
    <t>Trautmannsdorf in Oststeiermark</t>
  </si>
  <si>
    <t>Straden</t>
  </si>
  <si>
    <t>Fehring</t>
  </si>
  <si>
    <t>Unterlamm</t>
  </si>
  <si>
    <t>Kapfenstein</t>
  </si>
  <si>
    <t>St. Anna am Aigen</t>
  </si>
  <si>
    <t>Tieschen</t>
  </si>
  <si>
    <t>Hatzendorf</t>
  </si>
  <si>
    <t>Söchau</t>
  </si>
  <si>
    <t>4. Wirtschaftliche Rahmenbedingungen</t>
  </si>
  <si>
    <t>2. Technische Rahmenbedingungen</t>
  </si>
  <si>
    <t>Kärnten</t>
  </si>
  <si>
    <t>Oberösterreich</t>
  </si>
  <si>
    <t>Steiermark</t>
  </si>
  <si>
    <t>Tirol</t>
  </si>
  <si>
    <t>Vorarlberg</t>
  </si>
  <si>
    <t>Inflationsrate/Jahr:</t>
  </si>
  <si>
    <t>Strompreissteigerung/Jahr:</t>
  </si>
  <si>
    <t>Es kommt in keinster Weise zu einer Verschattung der Anlage!</t>
  </si>
  <si>
    <t>Energieertrag nach 25 Jahren:</t>
  </si>
  <si>
    <t>Jennersdorf</t>
  </si>
  <si>
    <t>Mogersdorf</t>
  </si>
  <si>
    <t>St. Martin an der Raab</t>
  </si>
  <si>
    <t>Minihof-Liebau</t>
  </si>
  <si>
    <t>Neuhaus am Klausenbach</t>
  </si>
  <si>
    <t>Kalsdorf bei Graz</t>
  </si>
  <si>
    <t>Werndorf</t>
  </si>
  <si>
    <t>Lebring</t>
  </si>
  <si>
    <t>Wildon</t>
  </si>
  <si>
    <t>Hengsberg</t>
  </si>
  <si>
    <t>Allerheiligen bei Wildon</t>
  </si>
  <si>
    <t>St. Georgen an der Stiefing</t>
  </si>
  <si>
    <t>Wolfsberg im Schwarzautal</t>
  </si>
  <si>
    <t>St. Nikolai ob Draßling</t>
  </si>
  <si>
    <t>St. Veit am Vogau</t>
  </si>
  <si>
    <t>Gabersdorf</t>
  </si>
  <si>
    <t>Leibnitz</t>
  </si>
  <si>
    <t>Wagna</t>
  </si>
  <si>
    <t>Fresing</t>
  </si>
  <si>
    <t>Kitzeck im Sausal</t>
  </si>
  <si>
    <t>Gleinstätten</t>
  </si>
  <si>
    <t>St. Andrä im Sausal</t>
  </si>
  <si>
    <t>Heimschuh</t>
  </si>
  <si>
    <t>Großklein</t>
  </si>
  <si>
    <t>St. Johann im Saggautal</t>
  </si>
  <si>
    <t>Arnfels</t>
  </si>
  <si>
    <t>Oberhaag</t>
  </si>
  <si>
    <t>Ehrenhausen</t>
  </si>
  <si>
    <t>Gamlitz</t>
  </si>
  <si>
    <t>Leutschach</t>
  </si>
  <si>
    <t>Spielfeld</t>
  </si>
  <si>
    <t>Straß in Steiermark</t>
  </si>
  <si>
    <t>Weitersfeld an der Mur</t>
  </si>
  <si>
    <t>Bundesförderung</t>
  </si>
  <si>
    <t>Tarif</t>
  </si>
  <si>
    <t>Investition</t>
  </si>
  <si>
    <t>Landesförderung</t>
  </si>
  <si>
    <t>-</t>
  </si>
  <si>
    <t>Mureck</t>
  </si>
  <si>
    <t>Weinburg am Saßbach</t>
  </si>
  <si>
    <t>Gosdorf</t>
  </si>
  <si>
    <t>Deutsch Goritz</t>
  </si>
  <si>
    <t>Unterpurkla</t>
  </si>
  <si>
    <t>Bad Radkersburg</t>
  </si>
  <si>
    <t>Halbenrain</t>
  </si>
  <si>
    <t>Klöch</t>
  </si>
  <si>
    <t>Lieboch</t>
  </si>
  <si>
    <t>Lannach</t>
  </si>
  <si>
    <t>St. Josef Weststeiermark</t>
  </si>
  <si>
    <t>Preding</t>
  </si>
  <si>
    <t>St. Nikolai im Sausal</t>
  </si>
  <si>
    <t>Stainz</t>
  </si>
  <si>
    <t>St. Stefan ob Stainz</t>
  </si>
  <si>
    <t>Wettmannstätten</t>
  </si>
  <si>
    <t>Groß St. Florian</t>
  </si>
  <si>
    <t>Frauental an der Laßnitz</t>
  </si>
  <si>
    <t>Bad Gams</t>
  </si>
  <si>
    <t>Deutschlandsberg</t>
  </si>
  <si>
    <t>Schwanberg</t>
  </si>
  <si>
    <t>St. Peter im Sulmtal</t>
  </si>
  <si>
    <t>St. Martin im Sulmtal</t>
  </si>
  <si>
    <t>Pölfing-Brunn</t>
  </si>
  <si>
    <t>Wies</t>
  </si>
  <si>
    <t>Eibiswald</t>
  </si>
  <si>
    <t>St. Oswald ob Eibiswald</t>
  </si>
  <si>
    <t>Azimut:</t>
  </si>
  <si>
    <t>Auswahl:</t>
  </si>
  <si>
    <t>Zuteilung der Werte aus der Einagbemaske:</t>
  </si>
  <si>
    <t>5. Zusammenfassung</t>
  </si>
  <si>
    <t xml:space="preserve">Gewünschte Vergütung:  </t>
  </si>
  <si>
    <t>Neukirchen am Großvenediger</t>
  </si>
  <si>
    <t>Wald im Pinzgau</t>
  </si>
  <si>
    <t>Krimml</t>
  </si>
  <si>
    <t>Maishofen</t>
  </si>
  <si>
    <t>Viehhofen</t>
  </si>
  <si>
    <t>Saalbach</t>
  </si>
  <si>
    <t>Hinterglemm</t>
  </si>
  <si>
    <t>Saalfelden am Steinernen Meer</t>
  </si>
  <si>
    <t>Maria Alm am Steinernen Meer</t>
  </si>
  <si>
    <t>Leogang</t>
  </si>
  <si>
    <t>T</t>
  </si>
  <si>
    <t>Innsbruck Postfach</t>
  </si>
  <si>
    <t>Innsbruck-Arzl</t>
  </si>
  <si>
    <t>Innsbruck-Neuarzl</t>
  </si>
  <si>
    <t>Hall in Tirol</t>
  </si>
  <si>
    <t>Rum</t>
  </si>
  <si>
    <t>Thaur</t>
  </si>
  <si>
    <t>Absam</t>
  </si>
  <si>
    <t>Mils</t>
  </si>
  <si>
    <t>Gnadenwald</t>
  </si>
  <si>
    <t>Ampass</t>
  </si>
  <si>
    <t>Aldrans</t>
  </si>
  <si>
    <t>Lans</t>
  </si>
  <si>
    <t>Sistrans</t>
  </si>
  <si>
    <t>Rinn</t>
  </si>
  <si>
    <t>Tulfes</t>
  </si>
  <si>
    <t>Steinach am Brenner</t>
  </si>
  <si>
    <t>Trins</t>
  </si>
  <si>
    <t>St. Jodok am Brenner</t>
  </si>
  <si>
    <t>Gries am Brenner</t>
  </si>
  <si>
    <t>Obernberg am Brenner</t>
  </si>
  <si>
    <t>Natters</t>
  </si>
  <si>
    <t>Mutters</t>
  </si>
  <si>
    <t>Telfes im Stubai</t>
  </si>
  <si>
    <t>Fulpmes</t>
  </si>
  <si>
    <t>Neustift im Stubaital</t>
  </si>
  <si>
    <t>Zirl</t>
  </si>
  <si>
    <t>Oberperfuss</t>
  </si>
  <si>
    <t>Aufdach</t>
  </si>
  <si>
    <t>Kematen in Tirol</t>
  </si>
  <si>
    <t>Völs</t>
  </si>
  <si>
    <t>Unterperfuss</t>
  </si>
  <si>
    <t>Ranggen</t>
  </si>
  <si>
    <t>Sellrain</t>
  </si>
  <si>
    <t>Gries im Sellrain</t>
  </si>
  <si>
    <t>Kühtai</t>
  </si>
  <si>
    <t>St. Sigmund</t>
  </si>
  <si>
    <t>Jenbach</t>
  </si>
  <si>
    <t>Wiesing</t>
  </si>
  <si>
    <t>Maurach</t>
  </si>
  <si>
    <t>Pertisau</t>
  </si>
  <si>
    <t>Achenkirch</t>
  </si>
  <si>
    <t>Gallzein</t>
  </si>
  <si>
    <t>Brixlegg</t>
  </si>
  <si>
    <t>Münster</t>
  </si>
  <si>
    <t>Kramsach</t>
  </si>
  <si>
    <t>Brandenberg</t>
  </si>
  <si>
    <t>Reith im Alpbachtal</t>
  </si>
  <si>
    <t>Alpbach</t>
  </si>
  <si>
    <t>Rattenberg</t>
  </si>
  <si>
    <t>Kundl</t>
  </si>
  <si>
    <t>Breitenbach am Inn</t>
  </si>
  <si>
    <t>Bruck am Ziller</t>
  </si>
  <si>
    <t>Strass im Zillertal</t>
  </si>
  <si>
    <t>Schlitters</t>
  </si>
  <si>
    <t>Fügen</t>
  </si>
  <si>
    <t>Hart im Zillertal</t>
  </si>
  <si>
    <t>Uderns</t>
  </si>
  <si>
    <t>europ. Wirkungsgrad:</t>
  </si>
  <si>
    <t>Modulwirkungsgrad (STC-Bedingungen):</t>
  </si>
  <si>
    <t>Nennleistung:</t>
  </si>
  <si>
    <t>Randbedingungen:</t>
  </si>
  <si>
    <t>Systemnutzungsgrad:</t>
  </si>
  <si>
    <t>Einspeisetarif</t>
  </si>
  <si>
    <t>Kaltenbach</t>
  </si>
  <si>
    <t>Aschau</t>
  </si>
  <si>
    <t>Stumm</t>
  </si>
  <si>
    <t>Stummerberg</t>
  </si>
  <si>
    <t>Zell am Ziller</t>
  </si>
  <si>
    <t>Gerlos</t>
  </si>
  <si>
    <t>Hippach</t>
  </si>
  <si>
    <t>Ramsau im Zillertal</t>
  </si>
  <si>
    <t>Mayrhofen</t>
  </si>
  <si>
    <t>Finkenberg</t>
  </si>
  <si>
    <t>Tux</t>
  </si>
  <si>
    <t>Hintertux</t>
  </si>
  <si>
    <t>Ginzling</t>
  </si>
  <si>
    <t>Wörgl</t>
  </si>
  <si>
    <t>Itter</t>
  </si>
  <si>
    <t>Söll</t>
  </si>
  <si>
    <t>Wildschönau-Oberau</t>
  </si>
  <si>
    <t>Wildschönau-Auffach</t>
  </si>
  <si>
    <t>Wildschönau-Niederau</t>
  </si>
  <si>
    <t>Angerberg</t>
  </si>
  <si>
    <t>Kirchbichl</t>
  </si>
  <si>
    <t>Bad Häring</t>
  </si>
  <si>
    <t>Mariastein</t>
  </si>
  <si>
    <t>Kufstein</t>
  </si>
  <si>
    <t>Schwoich</t>
  </si>
  <si>
    <t>Thiersee</t>
  </si>
  <si>
    <t>Langkampfen</t>
  </si>
  <si>
    <t>Ebbs</t>
  </si>
  <si>
    <t>Niederndorf</t>
  </si>
  <si>
    <t>Erl</t>
  </si>
  <si>
    <t>Walchsee</t>
  </si>
  <si>
    <t>Kössen</t>
  </si>
  <si>
    <t>Scheffau am Wilden Kaiser</t>
  </si>
  <si>
    <t>Ellmau</t>
  </si>
  <si>
    <t>Going am Wilden Kaiser</t>
  </si>
  <si>
    <t>Hopfgarten</t>
  </si>
  <si>
    <t>Westendorf</t>
  </si>
  <si>
    <t>Brixen im Thale</t>
  </si>
  <si>
    <t>Kirchberg in Tirol</t>
  </si>
  <si>
    <t>Kitzbühel</t>
  </si>
  <si>
    <t>Oberndorf in Tirol</t>
  </si>
  <si>
    <t>Jochberg</t>
  </si>
  <si>
    <t>St. Johann in Tirol</t>
  </si>
  <si>
    <t>Kirchdorf in Tirol</t>
  </si>
  <si>
    <t>Erpfendorf</t>
  </si>
  <si>
    <t>Waidring</t>
  </si>
  <si>
    <t>Schwendt</t>
  </si>
  <si>
    <t>Fieberbrunn</t>
  </si>
  <si>
    <t>St. Jakob in Haus</t>
  </si>
  <si>
    <t>St. Ulrich am Pillersee</t>
  </si>
  <si>
    <t>Hochfilzen</t>
  </si>
  <si>
    <t>Inzing</t>
  </si>
  <si>
    <t>Hatting</t>
  </si>
  <si>
    <t>Flaurling</t>
  </si>
  <si>
    <t>Polling</t>
  </si>
  <si>
    <t>Pfaffenhofen</t>
  </si>
  <si>
    <t>Oberhofen im Inntal</t>
  </si>
  <si>
    <t>Pettnau</t>
  </si>
  <si>
    <t>Telfs</t>
  </si>
  <si>
    <t>Telfs-St. Georgen</t>
  </si>
  <si>
    <t>Mieming</t>
  </si>
  <si>
    <t>Obsteig</t>
  </si>
  <si>
    <t>Rietz</t>
  </si>
  <si>
    <t>Stams</t>
  </si>
  <si>
    <t>Mötz</t>
  </si>
  <si>
    <t>Silz</t>
  </si>
  <si>
    <t>Haiming</t>
  </si>
  <si>
    <t>Roppen</t>
  </si>
  <si>
    <t>Ötztal Bahnhof</t>
  </si>
  <si>
    <t>Sautens</t>
  </si>
  <si>
    <t>Oetz</t>
  </si>
  <si>
    <t>Umhausen</t>
  </si>
  <si>
    <t>Längenfeld</t>
  </si>
  <si>
    <t>Sölden</t>
  </si>
  <si>
    <t>Hochsölden</t>
  </si>
  <si>
    <t>Obergurgl</t>
  </si>
  <si>
    <t>Vent</t>
  </si>
  <si>
    <t>Karres</t>
  </si>
  <si>
    <t>Tarrenz</t>
  </si>
  <si>
    <t>Nassereith</t>
  </si>
  <si>
    <t>Arzl im Pitztal</t>
  </si>
  <si>
    <t>Wenns</t>
  </si>
  <si>
    <t>Jerzens</t>
  </si>
  <si>
    <t>St. Leonhard im Pitztal</t>
  </si>
  <si>
    <t>Schönwies</t>
  </si>
  <si>
    <t>Imsterberg</t>
  </si>
  <si>
    <t>Landeck</t>
  </si>
  <si>
    <t>Landeck-Öd</t>
  </si>
  <si>
    <t>Zams</t>
  </si>
  <si>
    <t>Fließ</t>
  </si>
  <si>
    <t>Prutz</t>
  </si>
  <si>
    <t>Feichten im Kaunertal</t>
  </si>
  <si>
    <t>Kaunerberg</t>
  </si>
  <si>
    <t>Fendels</t>
  </si>
  <si>
    <t>Ried im Oberinntal</t>
  </si>
  <si>
    <t>Ladis</t>
  </si>
  <si>
    <t>Fiss</t>
  </si>
  <si>
    <t>Serfaus</t>
  </si>
  <si>
    <t>Tösens</t>
  </si>
  <si>
    <t>Pfunds</t>
  </si>
  <si>
    <t>Spiss</t>
  </si>
  <si>
    <t>Pians</t>
  </si>
  <si>
    <t>Tobadill</t>
  </si>
  <si>
    <t>See</t>
  </si>
  <si>
    <t>Kappl</t>
  </si>
  <si>
    <t>Ischgl</t>
  </si>
  <si>
    <t>Mathon</t>
  </si>
  <si>
    <t>Galtür</t>
  </si>
  <si>
    <t>Strengen</t>
  </si>
  <si>
    <t>Flirsch</t>
  </si>
  <si>
    <t>Pettneu am Arlberg</t>
  </si>
  <si>
    <t>St. Anton am Arlberg</t>
  </si>
  <si>
    <t>Grins</t>
  </si>
  <si>
    <t>Reutte</t>
  </si>
  <si>
    <t>Wängle</t>
  </si>
  <si>
    <t>Heiterwang</t>
  </si>
  <si>
    <t>Bichlbach</t>
  </si>
  <si>
    <t>Berwang</t>
  </si>
  <si>
    <t>Namlos</t>
  </si>
  <si>
    <t>Lermoos</t>
  </si>
  <si>
    <t>Ehrwald</t>
  </si>
  <si>
    <t>Biberwier</t>
  </si>
  <si>
    <t>Stanzach</t>
  </si>
  <si>
    <t>Elmen</t>
  </si>
  <si>
    <t>Vorderhornbach</t>
  </si>
  <si>
    <t>Hinterhornbach</t>
  </si>
  <si>
    <t>Pfafflar</t>
  </si>
  <si>
    <t>Gramais</t>
  </si>
  <si>
    <t>Häselgehr</t>
  </si>
  <si>
    <t>Elbigenalp</t>
  </si>
  <si>
    <t>Bach</t>
  </si>
  <si>
    <t>Holzgau</t>
  </si>
  <si>
    <t>Forchach</t>
  </si>
  <si>
    <t>Weißenbach am Lech</t>
  </si>
  <si>
    <t>Nesselwängle</t>
  </si>
  <si>
    <t>Grän</t>
  </si>
  <si>
    <t>Tannheim</t>
  </si>
  <si>
    <t>Schattwald</t>
  </si>
  <si>
    <t>Vils</t>
  </si>
  <si>
    <t>Jungholz</t>
  </si>
  <si>
    <t>V</t>
  </si>
  <si>
    <t>Bludenz Postfach</t>
  </si>
  <si>
    <t>Bürs</t>
  </si>
  <si>
    <t>Bürserberg</t>
  </si>
  <si>
    <t>Nenzing</t>
  </si>
  <si>
    <t>Thüringen</t>
  </si>
  <si>
    <t>Ludesch</t>
  </si>
  <si>
    <t>Nüziders</t>
  </si>
  <si>
    <t>Bludesch</t>
  </si>
  <si>
    <t>Thüringerberg</t>
  </si>
  <si>
    <t>St. Gerold</t>
  </si>
  <si>
    <t>Blons</t>
  </si>
  <si>
    <t>Sonntag</t>
  </si>
  <si>
    <t>Fontanella</t>
  </si>
  <si>
    <t>Raggal</t>
  </si>
  <si>
    <t>Braz</t>
  </si>
  <si>
    <t>Soboth</t>
  </si>
  <si>
    <t>Söding</t>
  </si>
  <si>
    <t>Mooskirchen</t>
  </si>
  <si>
    <t>Ligist</t>
  </si>
  <si>
    <t>Krottendorf-Gaisfeld</t>
  </si>
  <si>
    <t>St. Johann ob Hohenburg</t>
  </si>
  <si>
    <t>Voitsberg</t>
  </si>
  <si>
    <t>Bärnbach</t>
  </si>
  <si>
    <t>Kainach bei Voitsberg</t>
  </si>
  <si>
    <t>Köflach</t>
  </si>
  <si>
    <t>Rosental an der Kainach</t>
  </si>
  <si>
    <t>Edelschrott</t>
  </si>
  <si>
    <t>Maria Lankowitz</t>
  </si>
  <si>
    <t>Salla</t>
  </si>
  <si>
    <t>Graden</t>
  </si>
  <si>
    <t>Kapfenberg</t>
  </si>
  <si>
    <t>St. Katharein an der Laming</t>
  </si>
  <si>
    <t>Tragöß-Oberort</t>
  </si>
  <si>
    <t>Gasen</t>
  </si>
  <si>
    <t>Thörl</t>
  </si>
  <si>
    <t>Etmißl</t>
  </si>
  <si>
    <t>Aflenz Kurort</t>
  </si>
  <si>
    <t>Turnau</t>
  </si>
  <si>
    <t>Mariazell</t>
  </si>
  <si>
    <t>Gußwerk</t>
  </si>
  <si>
    <t>Wegscheid</t>
  </si>
  <si>
    <t>Gollrad</t>
  </si>
  <si>
    <t>Seewiesen</t>
  </si>
  <si>
    <t>St. Marein im Mürztal</t>
  </si>
  <si>
    <t>St. Lorenzen im Mürztal</t>
  </si>
  <si>
    <t>Allerheiligen im Mürztal</t>
  </si>
  <si>
    <t>Mürzhofen</t>
  </si>
  <si>
    <t>Kindberg</t>
  </si>
  <si>
    <t>Kindberg-Aumühl</t>
  </si>
  <si>
    <t>Stanz im Mürztal</t>
  </si>
  <si>
    <t>Fischbach</t>
  </si>
  <si>
    <t>Wartberg im Mürztal</t>
  </si>
  <si>
    <t>Mitterdorf im Mürztal</t>
  </si>
  <si>
    <t>Dorf Veitsch</t>
  </si>
  <si>
    <t>Großveitsch</t>
  </si>
  <si>
    <t>Langenwang</t>
  </si>
  <si>
    <t>Krieglach</t>
  </si>
  <si>
    <t>Alpl</t>
  </si>
  <si>
    <t>St. Kathrein am Hauenstein</t>
  </si>
  <si>
    <t>Ratten</t>
  </si>
  <si>
    <t>Rettenegg</t>
  </si>
  <si>
    <t>Mürzzuschlag</t>
  </si>
  <si>
    <t>Mürzzuschlag-Hönigsberg</t>
  </si>
  <si>
    <t>Spital am Semmering</t>
  </si>
  <si>
    <t>Steinhaus am Semmering</t>
  </si>
  <si>
    <t>Kapellen</t>
  </si>
  <si>
    <t>Neuberg an der Mürz</t>
  </si>
  <si>
    <t>Mürzsteg</t>
  </si>
  <si>
    <t>Frein an der Mürz</t>
  </si>
  <si>
    <t>Niklasdorf</t>
  </si>
  <si>
    <t>St. Stefan ob Leoben</t>
  </si>
  <si>
    <t>Kraubath an der Mur</t>
  </si>
  <si>
    <t>St. Lorenzen bei Knittelfeld</t>
  </si>
  <si>
    <t>Knittelfeld</t>
  </si>
  <si>
    <t>Spielberg</t>
  </si>
  <si>
    <t>Bischoffeld</t>
  </si>
  <si>
    <t>Seckau</t>
  </si>
  <si>
    <t>St. Marein bei Knittelfeld</t>
  </si>
  <si>
    <t>Großlobming</t>
  </si>
  <si>
    <t>Zeltweg</t>
  </si>
  <si>
    <t>Weißkirchen in Steiermark</t>
  </si>
  <si>
    <t>Obdach</t>
  </si>
  <si>
    <t>Judenburg</t>
  </si>
  <si>
    <t>Fohnsdorf-Arena</t>
  </si>
  <si>
    <t>Fohnsdorf</t>
  </si>
  <si>
    <t>Thalheim</t>
  </si>
  <si>
    <t>St. Peter ob Judenburg</t>
  </si>
  <si>
    <t>St. Georgen ob Judenburg</t>
  </si>
  <si>
    <t>Pöls</t>
  </si>
  <si>
    <t>Oberzeiring</t>
  </si>
  <si>
    <t>Möderbrugg</t>
  </si>
  <si>
    <t>Pusterwald</t>
  </si>
  <si>
    <t>St. Johann am Tauern</t>
  </si>
  <si>
    <t>St. Michael in Obersteiermark</t>
  </si>
  <si>
    <t>Timmersdorf</t>
  </si>
  <si>
    <t>Kammern im Liesingtal</t>
  </si>
  <si>
    <t>Mautern in Steiermark</t>
  </si>
  <si>
    <t>Kalwang</t>
  </si>
  <si>
    <t>Wald am Schoberpaß</t>
  </si>
  <si>
    <t>Treglwang</t>
  </si>
  <si>
    <t>Gaishorn am See</t>
  </si>
  <si>
    <t>Trieben</t>
  </si>
  <si>
    <t>Hohentauern</t>
  </si>
  <si>
    <t>Rottenmann</t>
  </si>
  <si>
    <t>St. Peter-Freienstein</t>
  </si>
  <si>
    <t>Trofaiach</t>
  </si>
  <si>
    <t>Vordernberg</t>
  </si>
  <si>
    <t>Radmer</t>
  </si>
  <si>
    <t>Unzmarkt</t>
  </si>
  <si>
    <t>Scheifling</t>
  </si>
  <si>
    <t>Mariahof</t>
  </si>
  <si>
    <t>St. Lambrecht</t>
  </si>
  <si>
    <t>Neumarkt in Steiermark</t>
  </si>
  <si>
    <t>Mühlen</t>
  </si>
  <si>
    <t>Niederwölz</t>
  </si>
  <si>
    <t>Oberwölz</t>
  </si>
  <si>
    <t>Teufenbach</t>
  </si>
  <si>
    <t>Frojach</t>
  </si>
  <si>
    <t>Katsch an der Mur</t>
  </si>
  <si>
    <t>St. Peter am Kammersberg</t>
  </si>
  <si>
    <t>Wernberg</t>
  </si>
  <si>
    <t>St. Veit an der Glan</t>
  </si>
  <si>
    <t>Kraig</t>
  </si>
  <si>
    <t>Meiselding</t>
  </si>
  <si>
    <t>St. Georgen am Längsee</t>
  </si>
  <si>
    <t>Launsdorf</t>
  </si>
  <si>
    <t>Kappel am Krappfeld</t>
  </si>
  <si>
    <t>Wildbad Einöd</t>
  </si>
  <si>
    <t>Photovoltaik - Berechnungstool der Österreichischen Energieagentur</t>
  </si>
  <si>
    <t>Treibach-Althofen</t>
  </si>
  <si>
    <t>Guttaring</t>
  </si>
  <si>
    <t>Lölling</t>
  </si>
  <si>
    <t>Straßburg</t>
  </si>
  <si>
    <t>Gurk</t>
  </si>
  <si>
    <t>Zweinitz</t>
  </si>
  <si>
    <t>Weitensfeld</t>
  </si>
  <si>
    <t>Kleinglödnitz</t>
  </si>
  <si>
    <t>Glödnitz</t>
  </si>
  <si>
    <t>Friesach</t>
  </si>
  <si>
    <t>St. Salvator</t>
  </si>
  <si>
    <t>Grades</t>
  </si>
  <si>
    <t>Metnitz</t>
  </si>
  <si>
    <t>Brückl</t>
  </si>
  <si>
    <t>Eberstein</t>
  </si>
  <si>
    <t>Klein St. Paul</t>
  </si>
  <si>
    <t>Wieting</t>
  </si>
  <si>
    <t>Hüttenberg</t>
  </si>
  <si>
    <t>Knappenberg</t>
  </si>
  <si>
    <t>Wolfsberg, Kärnten</t>
  </si>
  <si>
    <t>St. Michael</t>
  </si>
  <si>
    <t>St. Margarethen im Lavanttal</t>
  </si>
  <si>
    <t>St. Gertraud</t>
  </si>
  <si>
    <t>Eitweg</t>
  </si>
  <si>
    <t>Maria Rojach</t>
  </si>
  <si>
    <t>St. Georgen</t>
  </si>
  <si>
    <t>St. Stefan</t>
  </si>
  <si>
    <t>St. Andrä</t>
  </si>
  <si>
    <t>Twimberg</t>
  </si>
  <si>
    <t>Preitenegg</t>
  </si>
  <si>
    <t>Prebl</t>
  </si>
  <si>
    <t>Bad St. Leonhard im Lavanttal</t>
  </si>
  <si>
    <t>Reichenfels</t>
  </si>
  <si>
    <t>St. Paul im Lavanttal</t>
  </si>
  <si>
    <t>Ettendorf</t>
  </si>
  <si>
    <t>Einstrahlungswert:</t>
  </si>
  <si>
    <t>Bundesland:</t>
  </si>
  <si>
    <t>Tarifförderung:</t>
  </si>
  <si>
    <t>Wien</t>
  </si>
  <si>
    <t xml:space="preserve">    9.77</t>
  </si>
  <si>
    <t>-16.33</t>
  </si>
  <si>
    <t>Wiener Neustadt</t>
  </si>
  <si>
    <t xml:space="preserve">    9.44</t>
  </si>
  <si>
    <t>-16.23</t>
  </si>
  <si>
    <t>Wolfsberg</t>
  </si>
  <si>
    <t xml:space="preserve">    7.86</t>
  </si>
  <si>
    <t xml:space="preserve"> 46.85</t>
  </si>
  <si>
    <t>Zell am See</t>
  </si>
  <si>
    <t>-12.77</t>
  </si>
  <si>
    <t xml:space="preserve"> 47.32</t>
  </si>
  <si>
    <t>Zwettl</t>
  </si>
  <si>
    <t xml:space="preserve">    5.71</t>
  </si>
  <si>
    <t>-15.15</t>
  </si>
  <si>
    <t xml:space="preserve"> 48.58</t>
  </si>
  <si>
    <t>Bundesland</t>
  </si>
  <si>
    <t>NamePLZTyp</t>
  </si>
  <si>
    <t>intern_extern</t>
  </si>
  <si>
    <t>adressierbar</t>
  </si>
  <si>
    <t>Postfach</t>
  </si>
  <si>
    <t>W</t>
  </si>
  <si>
    <t>InteressentenPLZ</t>
  </si>
  <si>
    <t>extern</t>
  </si>
  <si>
    <t>Nein</t>
  </si>
  <si>
    <t>Ja</t>
  </si>
  <si>
    <t>PLZ-Adressierung</t>
  </si>
  <si>
    <t>Wien Postfach</t>
  </si>
  <si>
    <t>PLZ-Postfach</t>
  </si>
  <si>
    <t>Wien-Parlament</t>
  </si>
  <si>
    <t>Wien-VÖPh</t>
  </si>
  <si>
    <t>Wien-Flughafen</t>
  </si>
  <si>
    <t>Wien-Vereinte Nationen</t>
  </si>
  <si>
    <t>UNDOF AUSBATT</t>
  </si>
  <si>
    <t>FeldPLZ</t>
  </si>
  <si>
    <t>AUCON EUFOR</t>
  </si>
  <si>
    <t>AUCON KFOR</t>
  </si>
  <si>
    <t>Stockerau</t>
  </si>
  <si>
    <t>N</t>
  </si>
  <si>
    <t>Großmugl</t>
  </si>
  <si>
    <t>Leitzersdorf</t>
  </si>
  <si>
    <t>Niederhollabrunn</t>
  </si>
  <si>
    <t>Sierndorf</t>
  </si>
  <si>
    <t>Göllersdorf</t>
  </si>
  <si>
    <t>Breitenwaida</t>
  </si>
  <si>
    <t>Hollabrunn</t>
  </si>
  <si>
    <t>Immendorf</t>
  </si>
  <si>
    <t>Nappersdorf</t>
  </si>
  <si>
    <t>Mailberg</t>
  </si>
  <si>
    <t>Eggendorf im Thale</t>
  </si>
  <si>
    <t>Enzersdorf im Thale</t>
  </si>
  <si>
    <t>Kammersdorf</t>
  </si>
  <si>
    <t>Großharras</t>
  </si>
  <si>
    <t>Wullersdorf</t>
  </si>
  <si>
    <t>Guntersdorf</t>
  </si>
  <si>
    <t>Zellerndorf</t>
  </si>
  <si>
    <t>Pernersdorf-Pfaffendorf</t>
  </si>
  <si>
    <t>Jetzelsdorf</t>
  </si>
  <si>
    <t>Haugsdorf</t>
  </si>
  <si>
    <t>Hadres</t>
  </si>
  <si>
    <t>Seefeld-Großkadolz</t>
  </si>
  <si>
    <t>Zwingendorf</t>
  </si>
  <si>
    <t>Wulzeshofen</t>
  </si>
  <si>
    <t>Retz</t>
  </si>
  <si>
    <t>Schrattenthal</t>
  </si>
  <si>
    <t>Unterretzbach</t>
  </si>
  <si>
    <t>Niederfladnitz</t>
  </si>
  <si>
    <t>Hardegg</t>
  </si>
  <si>
    <t>Pleißing</t>
  </si>
  <si>
    <t>Weitersfeld</t>
  </si>
  <si>
    <t>Langau</t>
  </si>
  <si>
    <t>Riegersburg</t>
  </si>
  <si>
    <t>Geras</t>
  </si>
  <si>
    <t>Zissersdorf</t>
  </si>
  <si>
    <t>Drosendorf</t>
  </si>
  <si>
    <t>Korneuburg</t>
  </si>
  <si>
    <t>Bisamberg</t>
  </si>
  <si>
    <t>Langenzersdorf</t>
  </si>
  <si>
    <t>Spillern</t>
  </si>
  <si>
    <t>Oberrohrbach</t>
  </si>
  <si>
    <t>Rückersdorf-Harmannsdorf</t>
  </si>
  <si>
    <t>Würnitz</t>
  </si>
  <si>
    <t>Karnabrunn</t>
  </si>
  <si>
    <t>Großrußbach</t>
  </si>
  <si>
    <t>Ernstbrunn</t>
  </si>
  <si>
    <t>Niederleis</t>
  </si>
  <si>
    <t>Wolkersdorf im Weinviertel</t>
  </si>
  <si>
    <t>Ulrichskirchen</t>
  </si>
  <si>
    <t>Schleinbach</t>
  </si>
  <si>
    <t>Niederkreuzstetten</t>
  </si>
  <si>
    <t>Neubau</t>
  </si>
  <si>
    <t>Ladendorf</t>
  </si>
  <si>
    <t>Mistelbach</t>
  </si>
  <si>
    <t>Frättingsdorf</t>
  </si>
  <si>
    <t>Loosdorf</t>
  </si>
  <si>
    <t>Staatz-Kautendorf</t>
  </si>
  <si>
    <t>Neudorf bei Staatz</t>
  </si>
  <si>
    <t>Laa an der Thaya</t>
  </si>
  <si>
    <t>Ameis</t>
  </si>
  <si>
    <t>Großkrut</t>
  </si>
  <si>
    <t>Altlichtenwarth</t>
  </si>
  <si>
    <t>Hausbrunn</t>
  </si>
  <si>
    <t>Asparn an der Zaya</t>
  </si>
  <si>
    <t>Gnadendorf</t>
  </si>
  <si>
    <t>Stronsdorf</t>
  </si>
  <si>
    <t>Unterstinkenbrunn</t>
  </si>
  <si>
    <t>Poysbrunn</t>
  </si>
  <si>
    <t>Falkenstein</t>
  </si>
  <si>
    <t>Ottenthal</t>
  </si>
  <si>
    <t>Wildendürnbach</t>
  </si>
  <si>
    <t>Drasenhofen</t>
  </si>
  <si>
    <t>Poysdorf</t>
  </si>
  <si>
    <t>Herrnbaumgarten</t>
  </si>
  <si>
    <t>Schrattenberg</t>
  </si>
  <si>
    <t>Dobermannsdorf</t>
  </si>
  <si>
    <t>Palterndorf</t>
  </si>
  <si>
    <t>Neusiedl an der Zaya</t>
  </si>
  <si>
    <t>Hauskirchen</t>
  </si>
  <si>
    <t>Prinzendorf an der Zaya</t>
  </si>
  <si>
    <t>Gaweinstal</t>
  </si>
  <si>
    <t>Kettlasbrunn</t>
  </si>
  <si>
    <t>Wilfersdorf</t>
  </si>
  <si>
    <t>Gerasdorf</t>
  </si>
  <si>
    <t>Enzersfeld</t>
  </si>
  <si>
    <t>Großebersdorf</t>
  </si>
  <si>
    <t>Pillichsdorf</t>
  </si>
  <si>
    <t>Großengersdorf</t>
  </si>
  <si>
    <t>Bockfließ</t>
  </si>
  <si>
    <t>Auersthal</t>
  </si>
  <si>
    <t>Raggendorf</t>
  </si>
  <si>
    <t>Groß Schweinbarth</t>
  </si>
  <si>
    <t>Bad Pirawarth</t>
  </si>
  <si>
    <t>Hohenruppersdorf</t>
  </si>
  <si>
    <t>Obersulz</t>
  </si>
  <si>
    <t>Zistersdorf</t>
  </si>
  <si>
    <t>Gänserndorf</t>
  </si>
  <si>
    <t>Strasshof an der Nordbahn</t>
  </si>
  <si>
    <t>Deutsch Wagram</t>
  </si>
  <si>
    <t>Schönkirchen</t>
  </si>
  <si>
    <t>Prottes</t>
  </si>
  <si>
    <t>Matzen</t>
  </si>
  <si>
    <t>Spannberg</t>
  </si>
  <si>
    <t>Velm-Götzendorf</t>
  </si>
  <si>
    <t>Ebenthal</t>
  </si>
  <si>
    <t>Ollersdorf</t>
  </si>
  <si>
    <t>Weikendorf</t>
  </si>
  <si>
    <t>Angern an der March</t>
  </si>
  <si>
    <t>Stillfried</t>
  </si>
  <si>
    <t>Dürnkrut</t>
  </si>
  <si>
    <t>Jedenspeigen</t>
  </si>
  <si>
    <t>Drösing</t>
  </si>
  <si>
    <t>Niederabsdorf</t>
  </si>
  <si>
    <t>Hohenau an der March</t>
  </si>
  <si>
    <t>Rabensburg</t>
  </si>
  <si>
    <t>Bernhardsthal</t>
  </si>
  <si>
    <t>Reintal</t>
  </si>
  <si>
    <t>Raasdorf</t>
  </si>
  <si>
    <t>Markgrafneusiedl</t>
  </si>
  <si>
    <t>Obersiebenbrunn</t>
  </si>
  <si>
    <t>Untersiebenbrunn</t>
  </si>
  <si>
    <t xml:space="preserve">Strompreisentwicklung am 17.03.09 </t>
  </si>
  <si>
    <t>http://www.e-control.at/portal/page/portal/ECONTROL_HOME/STROM/STROMPREISE/ENDVERBRAUCHERPREISE</t>
  </si>
  <si>
    <t>Leopoldsdorf im Marchfelde</t>
  </si>
  <si>
    <t>Haringsee</t>
  </si>
  <si>
    <t>Lassee</t>
  </si>
  <si>
    <t>Engelhartstetten</t>
  </si>
  <si>
    <t>Marchegg Stadt</t>
  </si>
  <si>
    <t>Marchegg Bahnhof</t>
  </si>
  <si>
    <t>Oberweiden</t>
  </si>
  <si>
    <t>Groß-Enzersdorf</t>
  </si>
  <si>
    <t>Orth an der Donau</t>
  </si>
  <si>
    <t>Eckartsau</t>
  </si>
  <si>
    <t>Schwechat</t>
  </si>
  <si>
    <t>Zwölfaxing</t>
  </si>
  <si>
    <t>Schwechat-Mannswörth</t>
  </si>
  <si>
    <t>Schwechat-Rannersdorf</t>
  </si>
  <si>
    <t>Himberg</t>
  </si>
  <si>
    <t>Maria Lanzendorf</t>
  </si>
  <si>
    <t>Vösendorf</t>
  </si>
  <si>
    <t>Hennersdorf</t>
  </si>
  <si>
    <t>Leopoldsdorf</t>
  </si>
  <si>
    <t>Mödling</t>
  </si>
  <si>
    <t>Maria Enzersdorf</t>
  </si>
  <si>
    <t>Brunn am Gebirge</t>
  </si>
  <si>
    <t>Schöder</t>
  </si>
  <si>
    <t>Murau</t>
  </si>
  <si>
    <t>Stolzalpe</t>
  </si>
  <si>
    <t>Ranten</t>
  </si>
  <si>
    <t>Krakaudorf</t>
  </si>
  <si>
    <t>St. Georgen ob Murau</t>
  </si>
  <si>
    <t>Stadl an der Mur</t>
  </si>
  <si>
    <t>Predlitz</t>
  </si>
  <si>
    <t>Turrach</t>
  </si>
  <si>
    <t>Selzthal</t>
  </si>
  <si>
    <t>Lassing</t>
  </si>
  <si>
    <t>Ardning</t>
  </si>
  <si>
    <t>Johnsbach</t>
  </si>
  <si>
    <t>Weng</t>
  </si>
  <si>
    <t>Hieflau</t>
  </si>
  <si>
    <t>Lainbach</t>
  </si>
  <si>
    <t>Gams bei Hieflau</t>
  </si>
  <si>
    <t>Palfau</t>
  </si>
  <si>
    <t>Wildalpen</t>
  </si>
  <si>
    <t>Landl</t>
  </si>
  <si>
    <t>Weißenbach an der Enns</t>
  </si>
  <si>
    <t>St. Gallen</t>
  </si>
  <si>
    <t>Altenmarkt bei St. Gallen</t>
  </si>
  <si>
    <t>Liezen</t>
  </si>
  <si>
    <t>Wörschach</t>
  </si>
  <si>
    <t>Aigen im Ennstal</t>
  </si>
  <si>
    <t>Stainach</t>
  </si>
  <si>
    <t>Trautenfels</t>
  </si>
  <si>
    <t>Irdning</t>
  </si>
  <si>
    <t>Donnersbach</t>
  </si>
  <si>
    <t>St. Martin am Grimming</t>
  </si>
  <si>
    <t>Öblarn</t>
  </si>
  <si>
    <t>Stein an der Enns</t>
  </si>
  <si>
    <t>Gröbming</t>
  </si>
  <si>
    <t>Pruggern</t>
  </si>
  <si>
    <t>Aich-Assach</t>
  </si>
  <si>
    <t>Haus</t>
  </si>
  <si>
    <t>Schladming</t>
  </si>
  <si>
    <t>Rohrmoos-Untertal</t>
  </si>
  <si>
    <t>Pichl</t>
  </si>
  <si>
    <t>Mandling</t>
  </si>
  <si>
    <t>Tauplitz</t>
  </si>
  <si>
    <t>Bad Mitterndorf</t>
  </si>
  <si>
    <t>Kainisch</t>
  </si>
  <si>
    <t>Bad Aussee</t>
  </si>
  <si>
    <t>Altaussee</t>
  </si>
  <si>
    <t>Grundlsee</t>
  </si>
  <si>
    <t>Klagenfurt am Wörthersee</t>
  </si>
  <si>
    <t>K</t>
  </si>
  <si>
    <t>Klagenfurt am Wörthersee Postfach</t>
  </si>
  <si>
    <t>Klagenfurt-Wölfnitz</t>
  </si>
  <si>
    <t>Moosburg</t>
  </si>
  <si>
    <t>Maria Saal</t>
  </si>
  <si>
    <t>Pischeldorf</t>
  </si>
  <si>
    <t>Köttmannsdorf</t>
  </si>
  <si>
    <t>Ludmannsdorf</t>
  </si>
  <si>
    <t>Klagenfurt-Viktring</t>
  </si>
  <si>
    <t>Keutschach</t>
  </si>
  <si>
    <t>Reifnitz</t>
  </si>
  <si>
    <t>Maria Wörth</t>
  </si>
  <si>
    <t>Völkermarkt</t>
  </si>
  <si>
    <t>Mittertrixen</t>
  </si>
  <si>
    <t>Diex</t>
  </si>
  <si>
    <t>Pustritz</t>
  </si>
  <si>
    <t>Haimburg</t>
  </si>
  <si>
    <t>Griffen</t>
  </si>
  <si>
    <t>Ruden</t>
  </si>
  <si>
    <t>Tainach</t>
  </si>
  <si>
    <t>St. Kanzian am Klopeiner See</t>
  </si>
  <si>
    <t>St. Primus</t>
  </si>
  <si>
    <t>Kühnsdorf</t>
  </si>
  <si>
    <t>Poggersdorf</t>
  </si>
  <si>
    <t>Grafenstein</t>
  </si>
  <si>
    <t>Gallizien</t>
  </si>
  <si>
    <t>Miklauzhof</t>
  </si>
  <si>
    <t>Bad Eisenkappel</t>
  </si>
  <si>
    <t>Eberndorf</t>
  </si>
  <si>
    <t>Globasnitz</t>
  </si>
  <si>
    <t>St. Michael ob Bleiburg</t>
  </si>
  <si>
    <t>Bleiburg</t>
  </si>
  <si>
    <t>Maria Rain</t>
  </si>
  <si>
    <t>Strau</t>
  </si>
  <si>
    <t>Unterbergen</t>
  </si>
  <si>
    <t>St. Margareten im Rosental</t>
  </si>
  <si>
    <t>Feistritz im Rosental</t>
  </si>
  <si>
    <t>Maria Elend</t>
  </si>
  <si>
    <t>Rosenbach</t>
  </si>
  <si>
    <t>St. Jakob im Rosental</t>
  </si>
  <si>
    <t>Krumpendorf</t>
  </si>
  <si>
    <t>Pörtschach am Wörther See</t>
  </si>
  <si>
    <t>Techelsberg am Wörther See</t>
  </si>
  <si>
    <t>Velden am Wörther See</t>
  </si>
  <si>
    <t>Köstenberg</t>
  </si>
  <si>
    <t>Rosegg</t>
  </si>
  <si>
    <t>Lavamünd</t>
  </si>
  <si>
    <t>Villach-Warmbad Villach</t>
  </si>
  <si>
    <t>Sattendorf</t>
  </si>
  <si>
    <t>Treffen</t>
  </si>
  <si>
    <t>Villach-Landskron</t>
  </si>
  <si>
    <t>Villach-St. Magdalen</t>
  </si>
  <si>
    <t>Bad Bleiberg</t>
  </si>
  <si>
    <t>Kreuth</t>
  </si>
  <si>
    <t>Schiefling</t>
  </si>
  <si>
    <t>St. Egyden</t>
  </si>
  <si>
    <t>Einöde</t>
  </si>
  <si>
    <t>Afritz</t>
  </si>
  <si>
    <t>Feld am See</t>
  </si>
  <si>
    <t>Radenthein</t>
  </si>
  <si>
    <t>Bad Kleinkirchheim</t>
  </si>
  <si>
    <t>Bodensdorf</t>
  </si>
  <si>
    <t>Steindorf am Ossiacher See</t>
  </si>
  <si>
    <t>St. Urban</t>
  </si>
  <si>
    <t>Glanegg</t>
  </si>
  <si>
    <t>Liebenfels</t>
  </si>
  <si>
    <t>Feldkirchen in Kärnten</t>
  </si>
  <si>
    <t>Himmelberg</t>
  </si>
  <si>
    <t>Gnesau</t>
  </si>
  <si>
    <t>Patergassen</t>
  </si>
  <si>
    <t>Ebene Reichenau</t>
  </si>
  <si>
    <t>Ossiach</t>
  </si>
  <si>
    <t>Sirnitz</t>
  </si>
  <si>
    <t>Deutsch Griffen</t>
  </si>
  <si>
    <t>Villach-Drobollach am Faaker See</t>
  </si>
  <si>
    <t>Spezifische Kosten pro kWp:</t>
  </si>
  <si>
    <t>Investitionskosten:</t>
  </si>
  <si>
    <t>Linz-Ebelsberg</t>
  </si>
  <si>
    <t>Puchenau</t>
  </si>
  <si>
    <t>Traun</t>
  </si>
  <si>
    <t>Ansfelden</t>
  </si>
  <si>
    <t>Haid</t>
  </si>
  <si>
    <t>Pucking</t>
  </si>
  <si>
    <t>Leonding</t>
  </si>
  <si>
    <t>Pasching</t>
  </si>
  <si>
    <t>Thening</t>
  </si>
  <si>
    <t>Fördequote</t>
  </si>
  <si>
    <t>Eigenmittel</t>
  </si>
  <si>
    <t>Fördermittel Land</t>
  </si>
  <si>
    <t>Hörsching</t>
  </si>
  <si>
    <t>Oftering</t>
  </si>
  <si>
    <t>Eferding</t>
  </si>
  <si>
    <t>Alkoven</t>
  </si>
  <si>
    <t>Wilhering</t>
  </si>
  <si>
    <t>Stroheim</t>
  </si>
  <si>
    <t>Breitenaich</t>
  </si>
  <si>
    <t>St. Marienkirchen an der Polsenz</t>
  </si>
  <si>
    <t>Hartkirchen</t>
  </si>
  <si>
    <t>Aschach an der Donau</t>
  </si>
  <si>
    <t>Spittal an der Drau</t>
  </si>
  <si>
    <t>Baldramsdorf</t>
  </si>
  <si>
    <t>Lendorf</t>
  </si>
  <si>
    <t>Pusarnitz</t>
  </si>
  <si>
    <t>Möllbrücke</t>
  </si>
  <si>
    <t>Kolbnitz</t>
  </si>
  <si>
    <t>Penk</t>
  </si>
  <si>
    <t>Mallnitz</t>
  </si>
  <si>
    <t>Flattach</t>
  </si>
  <si>
    <t>Stall</t>
  </si>
  <si>
    <t>Rangersdorf</t>
  </si>
  <si>
    <t>Winklern</t>
  </si>
  <si>
    <t>Mörtschach</t>
  </si>
  <si>
    <t>Großkirchheim</t>
  </si>
  <si>
    <t>Heiligenblut</t>
  </si>
  <si>
    <t>Lieserbrücke</t>
  </si>
  <si>
    <t>Trebesing</t>
  </si>
  <si>
    <t>Malta</t>
  </si>
  <si>
    <t>Eisentratten</t>
  </si>
  <si>
    <t>Kremsbrücke</t>
  </si>
  <si>
    <t>Rennweg</t>
  </si>
  <si>
    <t>Seeboden</t>
  </si>
  <si>
    <t>Döbriach</t>
  </si>
  <si>
    <t>Thurn</t>
  </si>
  <si>
    <t>Assling</t>
  </si>
  <si>
    <t>Anras</t>
  </si>
  <si>
    <t>Abfaltersbach</t>
  </si>
  <si>
    <t>Sillian</t>
  </si>
  <si>
    <t>Außervillgraten</t>
  </si>
  <si>
    <t>Innervillgraten</t>
  </si>
  <si>
    <t>Kartitsch</t>
  </si>
  <si>
    <t>Obertilliach</t>
  </si>
  <si>
    <t>Untertilliach</t>
  </si>
  <si>
    <t>Ainet</t>
  </si>
  <si>
    <t>Huben</t>
  </si>
  <si>
    <t>Schlaiten</t>
  </si>
  <si>
    <t>Hopfgarten in Defereggen</t>
  </si>
  <si>
    <t>St. Veit in Defereggen</t>
  </si>
  <si>
    <t>St. Jakob in Defereggen</t>
  </si>
  <si>
    <t>Matrei in Osttirol</t>
  </si>
  <si>
    <t>Virgen</t>
  </si>
  <si>
    <t>Prägraten</t>
  </si>
  <si>
    <t>Kals</t>
  </si>
  <si>
    <t>Nußdorf-Debant</t>
  </si>
  <si>
    <t>Dölsach</t>
  </si>
  <si>
    <t>Jahre</t>
  </si>
  <si>
    <t>Vergütung</t>
  </si>
  <si>
    <t>[€]</t>
  </si>
  <si>
    <t>Energieertrag</t>
  </si>
  <si>
    <t>[€/kWh]</t>
  </si>
  <si>
    <t>Lembach im Mühlkreis</t>
  </si>
  <si>
    <t>Niederkappel</t>
  </si>
  <si>
    <t>Putzleinsdorf</t>
  </si>
  <si>
    <t>Pfarrkirchen im Mühlkreis</t>
  </si>
  <si>
    <t>Hofkirchen im Mühlkreis</t>
  </si>
  <si>
    <t>Neustift im Mühlkreis</t>
  </si>
  <si>
    <t>Oberkappel</t>
  </si>
  <si>
    <t>Rohrbach in Oberösterreich</t>
  </si>
  <si>
    <t>Sarleinsbach</t>
  </si>
  <si>
    <t>Peilstein im Mühlviertel</t>
  </si>
  <si>
    <t>Kollerschlag</t>
  </si>
  <si>
    <t>Aigen im Mühlkreis</t>
  </si>
  <si>
    <t>Ulrichsberg</t>
  </si>
  <si>
    <t>Julbach</t>
  </si>
  <si>
    <t>Klaffer am Hochficht</t>
  </si>
  <si>
    <t>Schwarzenberg am Böhmerwald</t>
  </si>
  <si>
    <t>Haslach an der Mühl</t>
  </si>
  <si>
    <t>St. Peter am Wimberg</t>
  </si>
  <si>
    <t>Information:</t>
  </si>
  <si>
    <t>St. Johann am Wimberg</t>
  </si>
  <si>
    <t>St. Veit im Mühlkreis</t>
  </si>
  <si>
    <t>Niederwaldkirchen</t>
  </si>
  <si>
    <t>Herzogsdorf</t>
  </si>
  <si>
    <t>Zwettl an der Rodl</t>
  </si>
  <si>
    <t>Oberneukirchen</t>
  </si>
  <si>
    <t>Waxenberg</t>
  </si>
  <si>
    <t>Traberg</t>
  </si>
  <si>
    <t>Helfenberg</t>
  </si>
  <si>
    <t>Bad Leonfelden</t>
  </si>
  <si>
    <t>Vorderweißenbach</t>
  </si>
  <si>
    <t>Angabe des Strom-Eigenverbrauches:</t>
  </si>
  <si>
    <t>Einspeisung in das öffentliche Netz:</t>
  </si>
  <si>
    <t>Errechnete Vergütung:</t>
  </si>
  <si>
    <t>Überschusseinspeisung</t>
  </si>
  <si>
    <t>Laufende Kosten (Wartung, Versicherung):</t>
  </si>
  <si>
    <t>Schenkenfelden</t>
  </si>
  <si>
    <t>Reichenthal</t>
  </si>
  <si>
    <t>Gramastetten</t>
  </si>
  <si>
    <t>Hellmonsödt</t>
  </si>
  <si>
    <t>Altenberg bei Linz</t>
  </si>
  <si>
    <t>Reichenau im Mühlkreis</t>
  </si>
  <si>
    <t>Engerwitzdorf</t>
  </si>
  <si>
    <t>Gallneukirchen</t>
  </si>
  <si>
    <t>Alberndorf in der Riedmark</t>
  </si>
  <si>
    <t>Neumarkt im Mühlkreis</t>
  </si>
  <si>
    <t>Steyregg</t>
  </si>
  <si>
    <t>St. Georgen an der Gusen</t>
  </si>
  <si>
    <t>Katsdorf</t>
  </si>
  <si>
    <t>Wartberg ob der Aist</t>
  </si>
  <si>
    <t>Pregarten</t>
  </si>
  <si>
    <t>Untergaisbach</t>
  </si>
  <si>
    <t>Hagenberg im Mühlkreis</t>
  </si>
  <si>
    <t>Freistadt</t>
  </si>
  <si>
    <t>Hirschbach im Mühlkreis</t>
  </si>
  <si>
    <t>Sandl</t>
  </si>
  <si>
    <t>Liebenau</t>
  </si>
  <si>
    <t>Rainbach im Mühlkreis</t>
  </si>
  <si>
    <t>Leopoldschlag</t>
  </si>
  <si>
    <t>Windhaag bei Freistadt</t>
  </si>
  <si>
    <t>Grünbach</t>
  </si>
  <si>
    <t>St. Oswald bei Freistadt</t>
  </si>
  <si>
    <t>Weitersfelden</t>
  </si>
  <si>
    <t>Unterweißenbach</t>
  </si>
  <si>
    <t>Schönau im Mühlkreis</t>
  </si>
  <si>
    <t>Königswiesen</t>
  </si>
  <si>
    <t>Mönchdorf</t>
  </si>
  <si>
    <t>Pierbach</t>
  </si>
  <si>
    <t>Bad Zell</t>
  </si>
  <si>
    <t>Tragwein</t>
  </si>
  <si>
    <t>Lasberg</t>
  </si>
  <si>
    <t>Kefermarkt</t>
  </si>
  <si>
    <t>Gutau</t>
  </si>
  <si>
    <t>St. Leonhard bei Freistadt</t>
  </si>
  <si>
    <t>St. Valentin</t>
  </si>
  <si>
    <t>St. Pantaleon</t>
  </si>
  <si>
    <t>Mauthausen</t>
  </si>
  <si>
    <t>Schwertberg</t>
  </si>
  <si>
    <t>Ried in der Riedmark</t>
  </si>
  <si>
    <t>Perg</t>
  </si>
  <si>
    <t>Windhaag bei Perg</t>
  </si>
  <si>
    <t>Münzbach</t>
  </si>
  <si>
    <t>Rechberg</t>
  </si>
  <si>
    <t>Naarn</t>
  </si>
  <si>
    <t>DI (FH) Franz Jetzinger</t>
  </si>
  <si>
    <t xml:space="preserve">  Kontakt:</t>
  </si>
  <si>
    <t>Au an der Donau</t>
  </si>
  <si>
    <t>Arbing</t>
  </si>
  <si>
    <t>Baumgartenberg</t>
  </si>
  <si>
    <t>Mitterkirchen</t>
  </si>
  <si>
    <t>Saxen</t>
  </si>
  <si>
    <t>Klam</t>
  </si>
  <si>
    <t>Grein</t>
  </si>
  <si>
    <t>Bad Kreuzen</t>
  </si>
  <si>
    <t>Pabneukirchen</t>
  </si>
  <si>
    <t>St. Thomas</t>
  </si>
  <si>
    <t>Dimbach</t>
  </si>
  <si>
    <t>St. Georgen am Walde</t>
  </si>
  <si>
    <t>St. Nikola an der Donau</t>
  </si>
  <si>
    <t>Sarmingstein</t>
  </si>
  <si>
    <t>Waldhausen im Strudengau</t>
  </si>
  <si>
    <t>Dorfstetten</t>
  </si>
  <si>
    <t>Steyr</t>
  </si>
  <si>
    <t>Steyr Postfach</t>
  </si>
  <si>
    <t>Steyr-Münichholz</t>
  </si>
  <si>
    <t>Steyr-Gleink</t>
  </si>
  <si>
    <t>Christkindl</t>
  </si>
  <si>
    <t>Aschach an der Steyr</t>
  </si>
  <si>
    <t>Haidershofen</t>
  </si>
  <si>
    <t>Ernsthofen</t>
  </si>
  <si>
    <t>Behamberg</t>
  </si>
  <si>
    <t>Kleinraming</t>
  </si>
  <si>
    <t>Maria Neustift</t>
  </si>
  <si>
    <t>Garsten</t>
  </si>
  <si>
    <t>Ternberg</t>
  </si>
  <si>
    <t>Losenstein</t>
  </si>
  <si>
    <t>Laussa</t>
  </si>
  <si>
    <t>Großraming</t>
  </si>
  <si>
    <t>Kleinreifling</t>
  </si>
  <si>
    <t>Enns</t>
  </si>
  <si>
    <t>Asten</t>
  </si>
  <si>
    <t>Ennsdorf</t>
  </si>
  <si>
    <t>Hargelsberg</t>
  </si>
  <si>
    <t>Kronstorf</t>
  </si>
  <si>
    <t>St. Florian</t>
  </si>
  <si>
    <t>Niederneukirchen</t>
  </si>
  <si>
    <t>Hofkirchen im Traunkreis</t>
  </si>
  <si>
    <t>Wolfern</t>
  </si>
  <si>
    <t>Neuhofen an der Krems</t>
  </si>
  <si>
    <t>St. Marien</t>
  </si>
  <si>
    <t>Allhaming</t>
  </si>
  <si>
    <t>Schiedlberg</t>
  </si>
  <si>
    <t>Sierning</t>
  </si>
  <si>
    <t>Neuzeug</t>
  </si>
  <si>
    <t>Kematen an der Krems</t>
  </si>
  <si>
    <t>Rohr im Kremstal</t>
  </si>
  <si>
    <t>Piberbach</t>
  </si>
  <si>
    <t>Bad Hall</t>
  </si>
  <si>
    <t>Adlwang</t>
  </si>
  <si>
    <t>Nußbach</t>
  </si>
  <si>
    <t>Ried im Traunkreis</t>
  </si>
  <si>
    <t>Wartberg an der Krems</t>
  </si>
  <si>
    <t>Schlierbach</t>
  </si>
  <si>
    <t>Kirchdorf an der Krems</t>
  </si>
  <si>
    <t>Steinbach am Ziehberg</t>
  </si>
  <si>
    <t>Micheldorf</t>
  </si>
  <si>
    <t>Klaus an der Pyhrnbahn</t>
  </si>
  <si>
    <t>Steyrling</t>
  </si>
  <si>
    <t>St. Pankraz</t>
  </si>
  <si>
    <t>Hinterstoder</t>
  </si>
  <si>
    <t>Vorderstoder</t>
  </si>
  <si>
    <t>Roßleithen</t>
  </si>
  <si>
    <t>Windischgarsten</t>
  </si>
  <si>
    <t>Rosenau am Hengstpaß</t>
  </si>
  <si>
    <t>Spital am Pyhrn</t>
  </si>
  <si>
    <t>Molln</t>
  </si>
  <si>
    <t>Leonstein</t>
  </si>
  <si>
    <t>Obergrünburg</t>
  </si>
  <si>
    <t>Grünburg</t>
  </si>
  <si>
    <t>Waldneukirchen</t>
  </si>
  <si>
    <t>Maria Enzersdorf-Südstadt</t>
  </si>
  <si>
    <t>Wiener Neudorf</t>
  </si>
  <si>
    <t>Guntramsdorf</t>
  </si>
  <si>
    <t>Laxenburg</t>
  </si>
  <si>
    <t>Biedermannsdorf</t>
  </si>
  <si>
    <t>Hinterbrühl</t>
  </si>
  <si>
    <t>Gießhübl</t>
  </si>
  <si>
    <t>Perchtoldsdorf</t>
  </si>
  <si>
    <t>Laab im Walde</t>
  </si>
  <si>
    <t>Breitenfurt bei Wien</t>
  </si>
  <si>
    <t>Kaltenleutgeben</t>
  </si>
  <si>
    <t>Sulz im Wienerwald</t>
  </si>
  <si>
    <t>Sittendorf</t>
  </si>
  <si>
    <t>Fischamend</t>
  </si>
  <si>
    <t>Maria Ellend</t>
  </si>
  <si>
    <t>Regelsbrunn</t>
  </si>
  <si>
    <t>Petronell</t>
  </si>
  <si>
    <t>Bad Deutsch Altenburg</t>
  </si>
  <si>
    <t>Hainburg an der Donau</t>
  </si>
  <si>
    <t>Wolfsthal</t>
  </si>
  <si>
    <t>Berg</t>
  </si>
  <si>
    <t>Kittsee</t>
  </si>
  <si>
    <t>B</t>
  </si>
  <si>
    <t>Pama</t>
  </si>
  <si>
    <t>Deutsch Jahrndorf</t>
  </si>
  <si>
    <t>Zurndorf</t>
  </si>
  <si>
    <t>Nickelsdorf</t>
  </si>
  <si>
    <t>Kleinneusiedl</t>
  </si>
  <si>
    <t>Schwadorf</t>
  </si>
  <si>
    <t>Margarethen am Moos</t>
  </si>
  <si>
    <t>Götzendorf an der Leitha</t>
  </si>
  <si>
    <t>Ebergassing</t>
  </si>
  <si>
    <t>Gramatneusiedl</t>
  </si>
  <si>
    <t>Mitterndorf an der Fischa</t>
  </si>
  <si>
    <t>Unterwaltersdorf</t>
  </si>
  <si>
    <t>Deutsch Brodersdorf</t>
  </si>
  <si>
    <t>Seibersdorf</t>
  </si>
  <si>
    <t>Hof am Leithaberge</t>
  </si>
  <si>
    <t>Mannersdorf am Leithagebirge</t>
  </si>
  <si>
    <t>Sommerein</t>
  </si>
  <si>
    <t>Trautmannsdorf an der Leitha</t>
  </si>
  <si>
    <t>Bruck an der Leitha</t>
  </si>
  <si>
    <t>Wilfleinsdorf</t>
  </si>
  <si>
    <t>Stixneusiedl</t>
  </si>
  <si>
    <t>Göttlesbrunn</t>
  </si>
  <si>
    <t>Höflein</t>
  </si>
  <si>
    <t>Rohrau</t>
  </si>
  <si>
    <t>Prellenkirchen</t>
  </si>
  <si>
    <t>LAND</t>
  </si>
  <si>
    <t>BUND</t>
  </si>
  <si>
    <t>Potzneusiedl</t>
  </si>
  <si>
    <t>Gattendorf</t>
  </si>
  <si>
    <t>Neudorf</t>
  </si>
  <si>
    <t>Achau</t>
  </si>
  <si>
    <t>Münchendorf</t>
  </si>
  <si>
    <t>Ebreichsdorf</t>
  </si>
  <si>
    <t>Wampersdorf</t>
  </si>
  <si>
    <t>Pottendorf</t>
  </si>
  <si>
    <t>Ebenfurth</t>
  </si>
  <si>
    <t>Neufeld an der Leitha</t>
  </si>
  <si>
    <t>Eggendorf</t>
  </si>
  <si>
    <t>Lichtenwörth-Nadelburg</t>
  </si>
  <si>
    <t>Baden</t>
  </si>
  <si>
    <t>Baden-Leesdorf</t>
  </si>
  <si>
    <t>Pfaffstätten</t>
  </si>
  <si>
    <t>Tribuswinkel</t>
  </si>
  <si>
    <t>Möllersdorf</t>
  </si>
  <si>
    <t>Traiskirchen</t>
  </si>
  <si>
    <t>Trumau</t>
  </si>
  <si>
    <t>Oberwaltersdorf</t>
  </si>
  <si>
    <t>Tattendorf</t>
  </si>
  <si>
    <t>Teesdorf</t>
  </si>
  <si>
    <t>Günselsdorf</t>
  </si>
  <si>
    <t>Gaaden</t>
  </si>
  <si>
    <t>Heiligenkreuz</t>
  </si>
  <si>
    <t>Klausen-Leopoldsdorf</t>
  </si>
  <si>
    <t>Alland</t>
  </si>
  <si>
    <t>Bad Vöslau</t>
  </si>
  <si>
    <t>Kottingbrunn</t>
  </si>
  <si>
    <t>Leobersdorf</t>
  </si>
  <si>
    <t>Enzesfeld-Lindabrunn</t>
  </si>
  <si>
    <t>Hirtenberg</t>
  </si>
  <si>
    <t>Berndorf</t>
  </si>
  <si>
    <t>Berndorf, Niederösterreich</t>
  </si>
  <si>
    <t>Pottenstein</t>
  </si>
  <si>
    <t>Weissenbach an der Triesting</t>
  </si>
  <si>
    <t>Neuhaus</t>
  </si>
  <si>
    <t>Altenmarkt-Thenneberg</t>
  </si>
  <si>
    <t>Kaumberg</t>
  </si>
  <si>
    <t>Sollenau</t>
  </si>
  <si>
    <t>Blumau-Neurißhof</t>
  </si>
  <si>
    <t>Felixdorf</t>
  </si>
  <si>
    <t>Theresienfeld</t>
  </si>
  <si>
    <t>Neunkirchen</t>
  </si>
  <si>
    <t>Neunkirchen, Niederösterreich</t>
  </si>
  <si>
    <t>Breitenau</t>
  </si>
  <si>
    <t>Schwarzau am Steinfelde</t>
  </si>
  <si>
    <t>Ternitz</t>
  </si>
  <si>
    <t>Sieding-Stixenstein</t>
  </si>
  <si>
    <t>Wimpassing im Schwarzatale</t>
  </si>
  <si>
    <t>Gloggnitz</t>
  </si>
  <si>
    <t>Schottwien</t>
  </si>
  <si>
    <t>Maria Schutz</t>
  </si>
  <si>
    <t>Payerbach</t>
  </si>
  <si>
    <t>Reichenau an der Rax</t>
  </si>
  <si>
    <t>Prein an der Rax</t>
  </si>
  <si>
    <t>Naßwald</t>
  </si>
  <si>
    <t>Schwarzau im Gebirge</t>
  </si>
  <si>
    <t>Rohr im Gebirge</t>
  </si>
  <si>
    <t>Küb</t>
  </si>
  <si>
    <t>Breitenstein</t>
  </si>
  <si>
    <t>Semmering</t>
  </si>
  <si>
    <t>Bad Fischau</t>
  </si>
  <si>
    <t>Winzendorf</t>
  </si>
  <si>
    <t>Muthmannsdorf</t>
  </si>
  <si>
    <t>Hohe Wand-Stollhof</t>
  </si>
  <si>
    <t>St. Egyden am Steinfeld</t>
  </si>
  <si>
    <t>Willendorf</t>
  </si>
  <si>
    <t>Grünbach am Schneeberg</t>
  </si>
  <si>
    <t>Puchberg am Schneeberg</t>
  </si>
  <si>
    <t>Steinabrückl</t>
  </si>
  <si>
    <t>Wöllersdorf</t>
  </si>
  <si>
    <t>Markt Piesting</t>
  </si>
  <si>
    <t>Waldegg</t>
  </si>
  <si>
    <t>Oed</t>
  </si>
  <si>
    <t>Miesenbach</t>
  </si>
  <si>
    <t>Pernitz</t>
  </si>
  <si>
    <t>Gutenstein</t>
  </si>
  <si>
    <t>Katzelsdorf</t>
  </si>
  <si>
    <t>Hochwolkersdorf</t>
  </si>
  <si>
    <t>Schwarzenbach</t>
  </si>
  <si>
    <t>Wiesmath</t>
  </si>
  <si>
    <t>Hollenthon</t>
  </si>
  <si>
    <t>Lichtenegg</t>
  </si>
  <si>
    <t>Lanzenkirchen</t>
  </si>
  <si>
    <t>Bad Erlach</t>
  </si>
  <si>
    <t>Pitten</t>
  </si>
  <si>
    <t>Seebenstein</t>
  </si>
  <si>
    <t>Warth</t>
  </si>
  <si>
    <t>Thernberg</t>
  </si>
  <si>
    <t>Bromberg</t>
  </si>
  <si>
    <t>Grimmenstein</t>
  </si>
  <si>
    <t>Edlitz</t>
  </si>
  <si>
    <t>Krumbach</t>
  </si>
  <si>
    <t>Hochneukirchen</t>
  </si>
  <si>
    <t>Bad Schönau</t>
  </si>
  <si>
    <t>Kirchschlag in der Buckligen Welt</t>
  </si>
  <si>
    <t>Aspang</t>
  </si>
  <si>
    <t>Zöbern</t>
  </si>
  <si>
    <t>Feistritz am Wechsel</t>
  </si>
  <si>
    <t>Kirchberg am Wechsel</t>
  </si>
  <si>
    <t>Trattenbach</t>
  </si>
  <si>
    <t>Mauerbach</t>
  </si>
  <si>
    <t>Purkersdorf</t>
  </si>
  <si>
    <t>Gablitz</t>
  </si>
  <si>
    <t>Ried am Riederberg</t>
  </si>
  <si>
    <t>Untertullnerbach</t>
  </si>
  <si>
    <t>Wolfsgraben</t>
  </si>
  <si>
    <t>Tullnerbach-Lawies</t>
  </si>
  <si>
    <t>Pressbaum</t>
  </si>
  <si>
    <t>Rekawinkel</t>
  </si>
  <si>
    <t>Eichgraben</t>
  </si>
  <si>
    <t>Altlengbach</t>
  </si>
  <si>
    <t>Maria Anzbach</t>
  </si>
  <si>
    <t>Neulengbach</t>
  </si>
  <si>
    <t>Asperhofen</t>
  </si>
  <si>
    <t>Würmla</t>
  </si>
  <si>
    <t>St. Christophen</t>
  </si>
  <si>
    <t>Innermanzing</t>
  </si>
  <si>
    <t>Laaben</t>
  </si>
  <si>
    <t>Ollersbach</t>
  </si>
  <si>
    <t>Kirchstetten</t>
  </si>
  <si>
    <t>Böheimkirchen</t>
  </si>
  <si>
    <t>Kasten bei Böheimkirchen</t>
  </si>
  <si>
    <t>Stössing</t>
  </si>
  <si>
    <t>Kommentar</t>
  </si>
  <si>
    <t>keine Landesförderung</t>
  </si>
  <si>
    <t>Michelbach</t>
  </si>
  <si>
    <t>St. Pölten Postfach</t>
  </si>
  <si>
    <t>St. Pölten-Harland</t>
  </si>
  <si>
    <t>St. Pölten-Radlberg</t>
  </si>
  <si>
    <t>St. Pölten-Spratzern</t>
  </si>
  <si>
    <t>St. Pölten-Traisenpark</t>
  </si>
  <si>
    <t>St. Pölten-Wagram</t>
  </si>
  <si>
    <t>Neidling</t>
  </si>
  <si>
    <t>Karlstetten</t>
  </si>
  <si>
    <t>Gansbach</t>
  </si>
  <si>
    <t>Obritzberg</t>
  </si>
  <si>
    <t>Oberwölbling</t>
  </si>
  <si>
    <t>Statzendorf</t>
  </si>
  <si>
    <t>Herzogenburg</t>
  </si>
  <si>
    <t>[€/kWp]</t>
  </si>
  <si>
    <t>[m²]</t>
  </si>
  <si>
    <t>[m²/Modul]</t>
  </si>
  <si>
    <t>[kWp/Modul]</t>
  </si>
  <si>
    <t>[kWh/a]</t>
  </si>
  <si>
    <t>[kWh/kWp]</t>
  </si>
  <si>
    <t>Anzahl der Module:</t>
  </si>
  <si>
    <t>[Module]</t>
  </si>
  <si>
    <t>Getzersdorf</t>
  </si>
  <si>
    <t>Traismauer</t>
  </si>
  <si>
    <t>Nußdorf</t>
  </si>
  <si>
    <t>Pottenbrunn</t>
  </si>
  <si>
    <t>Kapelln</t>
  </si>
  <si>
    <t>Perschling</t>
  </si>
  <si>
    <t>Pyhra</t>
  </si>
  <si>
    <t>Wald</t>
  </si>
  <si>
    <t>Wilhelmsburg</t>
  </si>
  <si>
    <t>St. Georgen am Steinfelde</t>
  </si>
  <si>
    <t>Eschenau</t>
  </si>
  <si>
    <t>Traisen</t>
  </si>
  <si>
    <t>Allhartsberg</t>
  </si>
  <si>
    <t>Ybbs an der Donau</t>
  </si>
  <si>
    <t>Neumarkt an der Ybbs</t>
  </si>
  <si>
    <t>Blindenmarkt</t>
  </si>
  <si>
    <t>Kemmelbach</t>
  </si>
  <si>
    <t>Säusenstein</t>
  </si>
  <si>
    <t>Krummnußbaum</t>
  </si>
  <si>
    <t>Pöchlarn</t>
  </si>
  <si>
    <t>Golling</t>
  </si>
  <si>
    <t>Hürm</t>
  </si>
  <si>
    <t>Groß Sierning</t>
  </si>
  <si>
    <t>Prinzersdorf</t>
  </si>
  <si>
    <t>Hafnerbach</t>
  </si>
  <si>
    <t>Melk</t>
  </si>
  <si>
    <t>Schönbühel an der Donau</t>
  </si>
  <si>
    <t>Matzleinsdorf</t>
  </si>
  <si>
    <t>Klosterneuburg</t>
  </si>
  <si>
    <t>Weidling</t>
  </si>
  <si>
    <t>Kierling</t>
  </si>
  <si>
    <t>Hintersdorf</t>
  </si>
  <si>
    <t>Kritzendorf</t>
  </si>
  <si>
    <t>Höflein an der Donau</t>
  </si>
  <si>
    <t>Greifenstein</t>
  </si>
  <si>
    <t>St. Andrä-Wördern</t>
  </si>
  <si>
    <t>Zeiselmauer</t>
  </si>
  <si>
    <t>Langenlebarn</t>
  </si>
  <si>
    <t>Tulln an der Donau</t>
  </si>
  <si>
    <t>Königstetten</t>
  </si>
  <si>
    <t>Tulbing</t>
  </si>
  <si>
    <t>Zwentendorf an der Donau</t>
  </si>
  <si>
    <t>Judenau</t>
  </si>
  <si>
    <t>Langenrohr</t>
  </si>
  <si>
    <t>Sieghartskirchen</t>
  </si>
  <si>
    <t>Michelhausen</t>
  </si>
  <si>
    <t>Atzenbrugg</t>
  </si>
  <si>
    <t>Sitzenberg-Reidling</t>
  </si>
  <si>
    <t>Absdorf</t>
  </si>
  <si>
    <t>Stetteldorf am Wagram</t>
  </si>
  <si>
    <t>Hausleiten</t>
  </si>
  <si>
    <t>Königsbrunn am Wagram</t>
  </si>
  <si>
    <t>Kirchberg am Wagram</t>
  </si>
  <si>
    <t>Großriedenthal</t>
  </si>
  <si>
    <t>Hohenwarth</t>
  </si>
  <si>
    <t>Mühlbach am Manhartsberg</t>
  </si>
  <si>
    <t>Legende:</t>
  </si>
  <si>
    <t>Verlinkungen</t>
  </si>
  <si>
    <t>Berrechnung des Überschuß-Einspeisetarifes:</t>
  </si>
  <si>
    <t>Fehlermeldung:</t>
  </si>
  <si>
    <t>Auswahl</t>
  </si>
  <si>
    <t>Einstrahlung (horizontale Fläche):</t>
  </si>
  <si>
    <t>Einstrahlung nach Angabe der Ausrichtung:</t>
  </si>
  <si>
    <t xml:space="preserve">Sondertarif </t>
  </si>
  <si>
    <t>gilt für Überschußeinspeiser</t>
  </si>
  <si>
    <t>gilt für alle Bundesländer in welchen es eine Tarifförderung gibt</t>
  </si>
  <si>
    <t>ist ein errechnter (prognostizierter) Tarif</t>
  </si>
  <si>
    <t>Niederösterreich</t>
  </si>
  <si>
    <t>Burgenland</t>
  </si>
  <si>
    <t>Altenwörth</t>
  </si>
  <si>
    <t/>
  </si>
  <si>
    <t>Fels am Wagram</t>
  </si>
  <si>
    <t>Gösing am Wagram</t>
  </si>
  <si>
    <t>Feuersbrunn</t>
  </si>
  <si>
    <t>Grafenwörth</t>
  </si>
  <si>
    <t>Haitzendorf</t>
  </si>
  <si>
    <t>Straß im Straßertale</t>
  </si>
  <si>
    <t>Etsdorf am Kamp</t>
  </si>
  <si>
    <t>Hadersdorf am Kamp</t>
  </si>
  <si>
    <t>Gedersdorf</t>
  </si>
  <si>
    <t>Rohrendorf bei Krems</t>
  </si>
  <si>
    <t>Krems an der Donau</t>
  </si>
  <si>
    <t>Krems-Lerchenfeld</t>
  </si>
  <si>
    <t>Krems-Stein</t>
  </si>
  <si>
    <t>Krems-Hollenburg</t>
  </si>
  <si>
    <t>Krems-Mitterau</t>
  </si>
  <si>
    <t>Paudorf</t>
  </si>
  <si>
    <t>Furth bei Göttweig</t>
  </si>
  <si>
    <t>Mautern</t>
  </si>
  <si>
    <t>Obermeisling</t>
  </si>
  <si>
    <t>Lichtenau</t>
  </si>
  <si>
    <t>Grainbrunn</t>
  </si>
  <si>
    <t>Sallingberg</t>
  </si>
  <si>
    <t>Landesförderungen:</t>
  </si>
  <si>
    <t>Bundesförderungen:</t>
  </si>
  <si>
    <t>Niedernondorf</t>
  </si>
  <si>
    <t>Rastenfeld</t>
  </si>
  <si>
    <t>Friedersbach</t>
  </si>
  <si>
    <t>Senftenberg</t>
  </si>
  <si>
    <t>Gföhl</t>
  </si>
  <si>
    <t>Krumau am Kamp</t>
  </si>
  <si>
    <t>Idolsberg</t>
  </si>
  <si>
    <t>Langenlois</t>
  </si>
  <si>
    <t>Lengenfeld</t>
  </si>
  <si>
    <t>Schiltern</t>
  </si>
  <si>
    <t>Zöbing</t>
  </si>
  <si>
    <t>Schönberg</t>
  </si>
  <si>
    <t>Plank am Kamp</t>
  </si>
  <si>
    <t>Gars am Kamp</t>
  </si>
  <si>
    <t>St. Leonhard am Hornerwald</t>
  </si>
  <si>
    <t>Rosenburg</t>
  </si>
  <si>
    <t>Horn</t>
  </si>
  <si>
    <t>Altenburg</t>
  </si>
  <si>
    <t>Röhrenbach</t>
  </si>
  <si>
    <t>Neupölla</t>
  </si>
  <si>
    <t>Franzen</t>
  </si>
  <si>
    <t>Brunn an der Wild</t>
  </si>
  <si>
    <t>Dürnstein</t>
  </si>
  <si>
    <t>Rossatz</t>
  </si>
  <si>
    <t>Weißenkirchen in der Wachau</t>
  </si>
  <si>
    <t>Großheinrichschlag</t>
  </si>
  <si>
    <t>Neigung</t>
  </si>
  <si>
    <t>Azimut</t>
  </si>
  <si>
    <t>Prozent</t>
  </si>
  <si>
    <t>Kirchberg bei Mattighofen</t>
  </si>
  <si>
    <t>Pischelsdorf am Engelbach</t>
  </si>
  <si>
    <t>Maria Schmolln</t>
  </si>
  <si>
    <t>St. Johann am Walde</t>
  </si>
  <si>
    <t>Höhnhart</t>
  </si>
  <si>
    <t>Aspach</t>
  </si>
  <si>
    <t>Uttendorf</t>
  </si>
  <si>
    <t>Mauerkirchen</t>
  </si>
  <si>
    <t>Moosbach</t>
  </si>
  <si>
    <t>Treubach</t>
  </si>
  <si>
    <t>Roßbach</t>
  </si>
  <si>
    <t>Burgkirchen</t>
  </si>
  <si>
    <t>Braunau am Inn</t>
  </si>
  <si>
    <t>Braunau</t>
  </si>
  <si>
    <t>Hallwang</t>
  </si>
  <si>
    <t>Eugendorf</t>
  </si>
  <si>
    <t>Henndorf am Wallersee</t>
  </si>
  <si>
    <t>Thalgau</t>
  </si>
  <si>
    <t>Loibichl</t>
  </si>
  <si>
    <t>Koppl</t>
  </si>
  <si>
    <t>Hof bei Salzburg</t>
  </si>
  <si>
    <t>Ebenau</t>
  </si>
  <si>
    <t>Faistenau</t>
  </si>
  <si>
    <t>Plainfeld</t>
  </si>
  <si>
    <t>Fuschl am See</t>
  </si>
  <si>
    <t>St. Gilgen</t>
  </si>
  <si>
    <t>Abersee</t>
  </si>
  <si>
    <t>Strobl</t>
  </si>
  <si>
    <t>Aigen-Voglhub</t>
  </si>
  <si>
    <t>St. Wolfgang im Salzkammergut</t>
  </si>
  <si>
    <t>Hallein</t>
  </si>
  <si>
    <t>Oberalm</t>
  </si>
  <si>
    <t>Puch bei Hallein</t>
  </si>
  <si>
    <t>Adnet</t>
  </si>
  <si>
    <t>Heilbad Dürrnberg</t>
  </si>
  <si>
    <t>St. Koloman</t>
  </si>
  <si>
    <t>Bad Vigaun</t>
  </si>
  <si>
    <t>Kuchl</t>
  </si>
  <si>
    <t>Golling an der Salzach</t>
  </si>
  <si>
    <t>Abtenau</t>
  </si>
  <si>
    <t>Rußbach am Paß Gschütt</t>
  </si>
  <si>
    <t>Werfen</t>
  </si>
  <si>
    <t>Tenneck</t>
  </si>
  <si>
    <t>Pfarrwerfen</t>
  </si>
  <si>
    <t>Werfenweng</t>
  </si>
  <si>
    <t>Bischofshofen</t>
  </si>
  <si>
    <t>Mühlbach am Hochkönig</t>
  </si>
  <si>
    <t>Hüttau</t>
  </si>
  <si>
    <t>Niedernfritz</t>
  </si>
  <si>
    <t>St. Martin am Tennengebirge</t>
  </si>
  <si>
    <t>Lungötz</t>
  </si>
  <si>
    <t>Eben im Pongau</t>
  </si>
  <si>
    <t>Filzmoos</t>
  </si>
  <si>
    <t>Altenmarkt im Pongau</t>
  </si>
  <si>
    <t>Flachau</t>
  </si>
  <si>
    <t>Radstadt</t>
  </si>
  <si>
    <t>Anlagengröße</t>
  </si>
  <si>
    <t>€/kWp</t>
  </si>
  <si>
    <t>Cent/kWh</t>
  </si>
  <si>
    <t>kWp</t>
  </si>
  <si>
    <t>Förderung für Kärnten</t>
  </si>
  <si>
    <t xml:space="preserve"> </t>
  </si>
  <si>
    <t>Förderung für Niederösterreich</t>
  </si>
  <si>
    <t>Förderung für Oberösterreich</t>
  </si>
  <si>
    <t>Förderung für Steiermark</t>
  </si>
  <si>
    <t>Förderung für Wien</t>
  </si>
  <si>
    <t>Innsbruck-Igls</t>
  </si>
  <si>
    <t>Patsch</t>
  </si>
  <si>
    <t>Ellbögen</t>
  </si>
  <si>
    <t>Götzens</t>
  </si>
  <si>
    <t>Birgitz</t>
  </si>
  <si>
    <t>Axams</t>
  </si>
  <si>
    <t>Grinzens</t>
  </si>
  <si>
    <t>Seefeld in Tirol</t>
  </si>
  <si>
    <t>Reith bei Seefeld</t>
  </si>
  <si>
    <t>Leutasch</t>
  </si>
  <si>
    <t>Scharnitz</t>
  </si>
  <si>
    <t>Volders</t>
  </si>
  <si>
    <t>Wattens</t>
  </si>
  <si>
    <t>Wattenberg</t>
  </si>
  <si>
    <t>Kolsass</t>
  </si>
  <si>
    <t>Kolsassberg</t>
  </si>
  <si>
    <t>Baumkirchen</t>
  </si>
  <si>
    <t>Fritzens</t>
  </si>
  <si>
    <t>Terfens</t>
  </si>
  <si>
    <t>Schwaz</t>
  </si>
  <si>
    <t>Weerberg</t>
  </si>
  <si>
    <t>Vomp</t>
  </si>
  <si>
    <t>Stans</t>
  </si>
  <si>
    <t>Schönberg im Stubaital</t>
  </si>
  <si>
    <t>Mieders</t>
  </si>
  <si>
    <t>Matrei am Brenner</t>
  </si>
  <si>
    <t>Navis</t>
  </si>
  <si>
    <t>Dobersdorf</t>
  </si>
  <si>
    <t>Rudersdorf</t>
  </si>
  <si>
    <t>Deutsch Kaltenbrunn</t>
  </si>
  <si>
    <t>Graz Postfach</t>
  </si>
  <si>
    <t>Graz-Liebenau</t>
  </si>
  <si>
    <t>Graz-St. Peter</t>
  </si>
  <si>
    <t>Graz-Kroisbach</t>
  </si>
  <si>
    <t>Graz-Mariatrost</t>
  </si>
  <si>
    <t>Graz-Andritz</t>
  </si>
  <si>
    <t>Graz-St. Veit</t>
  </si>
  <si>
    <t>Ertragsminderung (Degradation) pro Jahr:</t>
  </si>
  <si>
    <t>Entwicklung:</t>
  </si>
  <si>
    <t>Größe der Anlage:</t>
  </si>
  <si>
    <t>Moduldaten:</t>
  </si>
  <si>
    <t>Wechselrichterdaten:</t>
  </si>
  <si>
    <t>Graz-Ragnitz</t>
  </si>
  <si>
    <t>Graz-Gösting</t>
  </si>
  <si>
    <t>Graz-Wetzelsdorf</t>
  </si>
  <si>
    <t>Graz-Neuhart</t>
  </si>
  <si>
    <t>Graz-Straßgang</t>
  </si>
  <si>
    <t>Graz-Puntigam</t>
  </si>
  <si>
    <t>Förderung für Burgenland</t>
  </si>
  <si>
    <t>St. Radegund bei Graz</t>
  </si>
  <si>
    <t>Kumberg</t>
  </si>
  <si>
    <t>Eggersdorf bei Graz</t>
  </si>
  <si>
    <t>Hausmannstätten</t>
  </si>
  <si>
    <t>Fernitz</t>
  </si>
  <si>
    <t>Feldkirchen bei Graz</t>
  </si>
  <si>
    <t>Raaba</t>
  </si>
  <si>
    <t>Hart bei Graz</t>
  </si>
  <si>
    <t>Heiligenkreuz am Waasen</t>
  </si>
  <si>
    <t>Kirchbach in Steiermark</t>
  </si>
  <si>
    <t>St. Stefan im Rosental</t>
  </si>
  <si>
    <t>Jagerberg</t>
  </si>
  <si>
    <t>Mettersdorf am Saßbach</t>
  </si>
  <si>
    <t>St. Peter am Ottersbach</t>
  </si>
  <si>
    <t>Gratkorn</t>
  </si>
  <si>
    <t>Semriach</t>
  </si>
  <si>
    <t>Rein</t>
  </si>
  <si>
    <t>Judendorf-Straßengel</t>
  </si>
  <si>
    <t>Gratwein</t>
  </si>
  <si>
    <t>St. Oswald bei Plankenwarth</t>
  </si>
  <si>
    <t>Stübing</t>
  </si>
  <si>
    <t>Peggau</t>
  </si>
  <si>
    <t>Deutschfeistritz</t>
  </si>
  <si>
    <t>Waldstein</t>
  </si>
  <si>
    <t>Übelbach</t>
  </si>
  <si>
    <t>Frohnleiten</t>
  </si>
  <si>
    <t>Mixnitz</t>
  </si>
  <si>
    <t>Pernegg an der Mur</t>
  </si>
  <si>
    <t>Unterpremstätten</t>
  </si>
  <si>
    <t>Wundschuh</t>
  </si>
  <si>
    <t>Dobl</t>
  </si>
  <si>
    <t>Tobelbad</t>
  </si>
  <si>
    <t>Hitzendorf</t>
  </si>
  <si>
    <t>Stallhofen</t>
  </si>
  <si>
    <t>Geistthal</t>
  </si>
  <si>
    <t>Weiz</t>
  </si>
  <si>
    <t>Passail</t>
  </si>
  <si>
    <t>Fladnitz an der Teichalm</t>
  </si>
  <si>
    <t>St. Kathrein am Offenegg</t>
  </si>
  <si>
    <t>Heilbrunn</t>
  </si>
  <si>
    <t>St. Ruprecht an der Raab</t>
  </si>
  <si>
    <t>Puch bei Weiz</t>
  </si>
  <si>
    <t>Floing</t>
  </si>
  <si>
    <t>Anger</t>
  </si>
  <si>
    <t>Birkfeld</t>
  </si>
  <si>
    <t>Koglhof</t>
  </si>
  <si>
    <t>Strallegg</t>
  </si>
  <si>
    <t>Gleisdorf</t>
  </si>
  <si>
    <t>Großpesendorf</t>
  </si>
  <si>
    <t>Pischelsdorf in der Steiermark</t>
  </si>
  <si>
    <t>Hirnsdorf</t>
  </si>
  <si>
    <t>St. Johann bei Herberstein</t>
  </si>
  <si>
    <t>Stubenberg am See</t>
  </si>
  <si>
    <t>Kaindorf bei Hartberg</t>
  </si>
  <si>
    <t>Pöllau bei Hartberg</t>
  </si>
  <si>
    <t>Hartberg</t>
  </si>
  <si>
    <t>Grafendorf bei Hartberg</t>
  </si>
  <si>
    <t>Lafnitz</t>
  </si>
  <si>
    <t>Rohrbach an der Lafnitz</t>
  </si>
  <si>
    <t>Friedberg</t>
  </si>
  <si>
    <t>Dechantskirchen</t>
  </si>
  <si>
    <t>St. Lorenzen am Wechsel</t>
  </si>
  <si>
    <t>Pinggau</t>
  </si>
  <si>
    <t>Schäffern</t>
  </si>
  <si>
    <t>Vorau</t>
  </si>
  <si>
    <t>Bruck an der Lafnitz</t>
  </si>
  <si>
    <t>Mönichwald</t>
  </si>
  <si>
    <t>Waldbach</t>
  </si>
  <si>
    <t>Wenigzell</t>
  </si>
  <si>
    <t>Sondertarif</t>
  </si>
  <si>
    <t>Fördertarif</t>
  </si>
  <si>
    <t>Anlage:</t>
  </si>
  <si>
    <t>Tarif:</t>
  </si>
  <si>
    <t>Tarif aus der Förderung</t>
  </si>
  <si>
    <t>Errechneter Tarif</t>
  </si>
  <si>
    <t>Tarifzuweisung:</t>
  </si>
  <si>
    <t>Tarifhöhe:</t>
  </si>
  <si>
    <t>Summe</t>
  </si>
  <si>
    <t>Jan. 02</t>
  </si>
  <si>
    <t>Mar.02</t>
  </si>
  <si>
    <t>May 02</t>
  </si>
  <si>
    <t>Oct.02</t>
  </si>
  <si>
    <t>Dec.02</t>
  </si>
  <si>
    <t>Jan. 03</t>
  </si>
  <si>
    <t>Mar.03</t>
  </si>
  <si>
    <t>May 03</t>
  </si>
  <si>
    <t>Oct.03</t>
  </si>
  <si>
    <t>Dec.03</t>
  </si>
  <si>
    <t>Jan. 04</t>
  </si>
  <si>
    <t>Mar.04</t>
  </si>
  <si>
    <t>May 04</t>
  </si>
  <si>
    <t>Oct.04</t>
  </si>
  <si>
    <t>Dec. 04</t>
  </si>
  <si>
    <t>Jan. 05</t>
  </si>
  <si>
    <t>Mar. 05</t>
  </si>
  <si>
    <t>May 05</t>
  </si>
  <si>
    <t>June 05</t>
  </si>
  <si>
    <t>July 05</t>
  </si>
  <si>
    <t>Oct. 05</t>
  </si>
  <si>
    <t>Dec. 05</t>
  </si>
  <si>
    <t>&gt; 20</t>
  </si>
  <si>
    <t>5 bis 20</t>
  </si>
  <si>
    <t>größer 20</t>
  </si>
  <si>
    <t>* Hinweis: Der Fördertarif wird vom Bund getragen und ist für Anlagen &gt; 5kWp erhältlich; die Fördermittel des Bundes sind in nachfolgendem Link (tagesaktuelles Kontingent) ersichtlich.</t>
  </si>
  <si>
    <t>Jan 06</t>
  </si>
  <si>
    <t>Mar. 06</t>
  </si>
  <si>
    <t>May 06</t>
  </si>
  <si>
    <t>Oct. 06</t>
  </si>
  <si>
    <t>Dec. 06</t>
  </si>
  <si>
    <t>Jan. 07</t>
  </si>
  <si>
    <t>Mar. 07</t>
  </si>
  <si>
    <t>May  07</t>
  </si>
  <si>
    <t>June 07</t>
  </si>
  <si>
    <t>July 07</t>
  </si>
  <si>
    <t>Oct. 07</t>
  </si>
  <si>
    <t>Jan. 08</t>
  </si>
  <si>
    <t>March 08</t>
  </si>
  <si>
    <t>Jan. 09</t>
  </si>
  <si>
    <t>Jan 07</t>
  </si>
  <si>
    <t>Dec. 08</t>
  </si>
  <si>
    <t>Stromnetz Steiermark GmbH</t>
  </si>
  <si>
    <t>Energie AG</t>
  </si>
  <si>
    <t>Salzburg AG</t>
  </si>
  <si>
    <t>KELAG Netz</t>
  </si>
  <si>
    <t>BEWAG</t>
  </si>
  <si>
    <t>Linz Strom</t>
  </si>
  <si>
    <t>VKW</t>
  </si>
  <si>
    <t>EVN</t>
  </si>
  <si>
    <t>Wien Energie Stromnetz GmbH</t>
  </si>
  <si>
    <t>Stromnetz Graz GmbH &amp; Co KG</t>
  </si>
  <si>
    <t>Tiwag</t>
  </si>
  <si>
    <t>IKB</t>
  </si>
  <si>
    <t>Energie Klagenfurt GmbH</t>
  </si>
  <si>
    <t>STEG</t>
  </si>
  <si>
    <t>Ökostrompreisentwicklung ( für Erzeuger) gemäß energie-Control vom 17.03.09</t>
  </si>
  <si>
    <t>Derzeit durchschnittlicher Strompreis:</t>
  </si>
  <si>
    <t>cent/kWh</t>
  </si>
  <si>
    <t>Derzeit Ökostrompreis (ökostrom-ag):</t>
  </si>
  <si>
    <t>Abgerufen am 17.03.09 von http://www.oekostrom.at/default.asp?id=60837&amp;tt=OEKOAG_R8&amp;hl=3</t>
  </si>
  <si>
    <t>Einspeisepreis für Ökostrom:</t>
  </si>
  <si>
    <t>Förderungsprozentsatz</t>
  </si>
  <si>
    <t>Für geschaltete Leistungen – Wärmepumpen, Warmwasserboiler, Nachtstrom – bieten wir unseren günstigen Tarif oekostrom®-click zu brutto 15,5, ct/kWh mit Preisgarantie bis 31.12.2010</t>
  </si>
  <si>
    <r>
      <t>Der oekostrom</t>
    </r>
    <r>
      <rPr>
        <vertAlign val="superscript"/>
        <sz val="10"/>
        <rFont val="Arial"/>
        <family val="2"/>
      </rPr>
      <t>®</t>
    </r>
    <r>
      <rPr>
        <sz val="10"/>
        <rFont val="Arial"/>
        <family val="2"/>
      </rPr>
      <t>-Preis beträgt brutto 21,5 ct/kWh mit Preisgarantie bis 31.12.2010 und ist österreichweit einheitlich.</t>
    </r>
  </si>
  <si>
    <t>Amortisationsdauer:</t>
  </si>
  <si>
    <t>[Jahre]</t>
  </si>
  <si>
    <t>Osten</t>
  </si>
  <si>
    <t>Westen</t>
  </si>
  <si>
    <t>Angaben in Prozent</t>
  </si>
  <si>
    <t>Einstrahlung auf die horizontale Fläche:</t>
  </si>
  <si>
    <t>Angaben in kWh/m²a</t>
  </si>
  <si>
    <t>Forstau</t>
  </si>
  <si>
    <t>Untertauern</t>
  </si>
  <si>
    <t>Obertauern</t>
  </si>
  <si>
    <t>Tweng</t>
  </si>
  <si>
    <t>Mauterndorf</t>
  </si>
  <si>
    <t>Mariapfarr</t>
  </si>
  <si>
    <t>St. Andrä im Lungau</t>
  </si>
  <si>
    <t>Weißpriach</t>
  </si>
  <si>
    <t>Tamsweg</t>
  </si>
  <si>
    <t>St. Margarethen im Lungau</t>
  </si>
  <si>
    <t>St. Michael im Lungau</t>
  </si>
  <si>
    <t>Muhr</t>
  </si>
  <si>
    <t>Zederhaus</t>
  </si>
  <si>
    <t>Unternberg</t>
  </si>
  <si>
    <t>Ramingstein</t>
  </si>
  <si>
    <t>Thomatal</t>
  </si>
  <si>
    <t>St. Johann im Pongau</t>
  </si>
  <si>
    <t>Wagrain</t>
  </si>
  <si>
    <t>Kleinarl</t>
  </si>
  <si>
    <t>Großarl</t>
  </si>
  <si>
    <t>Hüttschlag</t>
  </si>
  <si>
    <t>Schwarzach im Pongau</t>
  </si>
  <si>
    <t>St. Veit im Pongau</t>
  </si>
  <si>
    <t>Goldegg</t>
  </si>
  <si>
    <t>Bad Hofgastein</t>
  </si>
  <si>
    <t>Dorfgastein</t>
  </si>
  <si>
    <t>Bad Gastein</t>
  </si>
  <si>
    <t>Böckstein</t>
  </si>
  <si>
    <t>Lend</t>
  </si>
  <si>
    <t>Dienten am Hochkönig</t>
  </si>
  <si>
    <t>Taxenbach</t>
  </si>
  <si>
    <t>Gries</t>
  </si>
  <si>
    <t>Bruck an der Großglocknerstraße</t>
  </si>
  <si>
    <t>Fusch an der Glocknerstraße</t>
  </si>
  <si>
    <t>Zell am See-Schüttdorf</t>
  </si>
  <si>
    <t>Kaprun</t>
  </si>
  <si>
    <t>Piesendorf</t>
  </si>
  <si>
    <t>Niedernsill</t>
  </si>
  <si>
    <t>Stuhlfelden</t>
  </si>
  <si>
    <t>Mittersill</t>
  </si>
  <si>
    <t>Hollersbach im Pinzgau</t>
  </si>
  <si>
    <t>Mühlbach</t>
  </si>
  <si>
    <t>Bramberg am Wildkogel</t>
  </si>
  <si>
    <t>Ausrichtung:</t>
  </si>
  <si>
    <t>Aufstellung:</t>
  </si>
  <si>
    <t>Die Angabe der Ausrichtung der Anlage erfolgt von Osten nach Westen von -90° bis +90° (zB.: -45° = SO)</t>
  </si>
  <si>
    <t>°</t>
  </si>
  <si>
    <t>Die Angabe zur Neigung der Anlage erfolgt von 0° bis 90° (z.B.: 90° = Fassadenanlage)</t>
  </si>
  <si>
    <t>1. Allgemeine Eingaben</t>
  </si>
  <si>
    <t>Dalaas</t>
  </si>
  <si>
    <t>Klösterle</t>
  </si>
  <si>
    <t>Stuben</t>
  </si>
  <si>
    <t>Zürs</t>
  </si>
  <si>
    <t>Lech</t>
  </si>
  <si>
    <t>St. Anton im Montafon</t>
  </si>
  <si>
    <t>Vandans</t>
  </si>
  <si>
    <t>Tschagguns</t>
  </si>
  <si>
    <t>Schruns</t>
  </si>
  <si>
    <t>St. Gallenkirch</t>
  </si>
  <si>
    <t>Gaschurn</t>
  </si>
  <si>
    <t>Partenen</t>
  </si>
  <si>
    <t>Feldkirch Postfach</t>
  </si>
  <si>
    <t>Feldkirch-Altenstadt</t>
  </si>
  <si>
    <t>Feldkirch-Gisingen</t>
  </si>
  <si>
    <t>Feldkirch-Tosters</t>
  </si>
  <si>
    <t>Gesamte Förderung:</t>
  </si>
  <si>
    <t>Feldkirch-Tisis</t>
  </si>
  <si>
    <t>Göfis</t>
  </si>
  <si>
    <t>Meiningen</t>
  </si>
  <si>
    <t>Frastanz</t>
  </si>
  <si>
    <t>Satteins</t>
  </si>
  <si>
    <t>Schlins</t>
  </si>
  <si>
    <t>Rankweil</t>
  </si>
  <si>
    <t>Sulz-Röthis</t>
  </si>
  <si>
    <t>Klaus-Weiler</t>
  </si>
  <si>
    <t>Übersaxen</t>
  </si>
  <si>
    <t>Viktorsberg</t>
  </si>
  <si>
    <t>Götzis</t>
  </si>
  <si>
    <t>Mäder</t>
  </si>
  <si>
    <t>Koblach</t>
  </si>
  <si>
    <t>Altach</t>
  </si>
  <si>
    <t>Hohenems</t>
  </si>
  <si>
    <t>Dornbirn</t>
  </si>
  <si>
    <t>Dornbirn Postfach</t>
  </si>
  <si>
    <t>Dornbirn-Oberdorf</t>
  </si>
  <si>
    <t>Dornbirn-Hatlerdorf</t>
  </si>
  <si>
    <t>Dornbirn-Messepark</t>
  </si>
  <si>
    <t>Dornbirn-Haselstauden</t>
  </si>
  <si>
    <t>Schwarzach</t>
  </si>
  <si>
    <t>Alberschwende</t>
  </si>
  <si>
    <t>Egg</t>
  </si>
  <si>
    <t>Andelsbuch</t>
  </si>
  <si>
    <t>Schwarzenberg</t>
  </si>
  <si>
    <t>Bezau</t>
  </si>
  <si>
    <t>Bizau</t>
  </si>
  <si>
    <t>Mellau</t>
  </si>
  <si>
    <t>Schnepfau</t>
  </si>
  <si>
    <t>Au</t>
  </si>
  <si>
    <t>Damüls</t>
  </si>
  <si>
    <t>Schoppernau</t>
  </si>
  <si>
    <t>Schröcken</t>
  </si>
  <si>
    <t>Lustenau</t>
  </si>
  <si>
    <t>Lustenau-Rheindorf</t>
  </si>
  <si>
    <t>Bregenz</t>
  </si>
  <si>
    <t>Bregenz Postfach</t>
  </si>
  <si>
    <t>Bregenz-Vorkloster</t>
  </si>
  <si>
    <t>Bregenz-Schendlingen</t>
  </si>
  <si>
    <t>Bregenz-Achsiedlung</t>
  </si>
  <si>
    <t>Lochau</t>
  </si>
  <si>
    <t>Hörbranz</t>
  </si>
  <si>
    <t>Hohenweiler</t>
  </si>
  <si>
    <t>Kennelbach</t>
  </si>
  <si>
    <t>Wolfurt</t>
  </si>
  <si>
    <t>Lauterach</t>
  </si>
  <si>
    <t>Langen bei Bregenz</t>
  </si>
  <si>
    <t>Doren</t>
  </si>
  <si>
    <t>Sulzberg</t>
  </si>
  <si>
    <t>Langenegg</t>
  </si>
  <si>
    <t>Riefensberg</t>
  </si>
  <si>
    <t>Lingenau</t>
  </si>
  <si>
    <t>Hittisau</t>
  </si>
  <si>
    <t>Wolfurt-Bahnhof</t>
  </si>
  <si>
    <t>Wolfurt-Bahnhof Postfach</t>
  </si>
  <si>
    <t>Hard</t>
  </si>
  <si>
    <t>Fußach</t>
  </si>
  <si>
    <t>Höchst</t>
  </si>
  <si>
    <t>Gaißau</t>
  </si>
  <si>
    <t>Riezlern</t>
  </si>
  <si>
    <t>Hirschegg</t>
  </si>
  <si>
    <t>Mittelberg</t>
  </si>
  <si>
    <t>Eisenstadt Postfach</t>
  </si>
  <si>
    <t>Siegendorf</t>
  </si>
  <si>
    <t>Klingenbach</t>
  </si>
  <si>
    <t>Draßburg</t>
  </si>
  <si>
    <t>Schattendorf</t>
  </si>
  <si>
    <t>Zemendorf</t>
  </si>
  <si>
    <t>Hirm</t>
  </si>
  <si>
    <t>Krensdorf</t>
  </si>
  <si>
    <t>Sigleß</t>
  </si>
  <si>
    <t>Pöttsching</t>
  </si>
  <si>
    <t>Zillingtal</t>
  </si>
  <si>
    <t>Steinbrunn</t>
  </si>
  <si>
    <t>Wulkaprodersdorf</t>
  </si>
  <si>
    <t>Großhöflein</t>
  </si>
  <si>
    <t>Müllendorf</t>
  </si>
  <si>
    <t>Hornstein</t>
  </si>
  <si>
    <t>Trausdorf an der Wulka</t>
  </si>
  <si>
    <t>St. Margarethen im Burgenland</t>
  </si>
  <si>
    <t>Oggau</t>
  </si>
  <si>
    <t>Oslip</t>
  </si>
  <si>
    <t>Rust</t>
  </si>
  <si>
    <t>Mörbisch am See</t>
  </si>
  <si>
    <t>Rust, Burgenland</t>
  </si>
  <si>
    <t>Schützen am Gebirge</t>
  </si>
  <si>
    <t>Donnerskirchen</t>
  </si>
  <si>
    <t>Purbach am Neusiedler See</t>
  </si>
  <si>
    <t>Breitenbrunn</t>
  </si>
  <si>
    <t>Winden am See</t>
  </si>
  <si>
    <t>Jois</t>
  </si>
  <si>
    <t>Neusiedl am See</t>
  </si>
  <si>
    <t>Parndorf</t>
  </si>
  <si>
    <t>Weiden am See</t>
  </si>
  <si>
    <t>Gols</t>
  </si>
  <si>
    <t>Mönchhof</t>
  </si>
  <si>
    <t>Halbturn</t>
  </si>
  <si>
    <t>Frauenkirchen</t>
  </si>
  <si>
    <t>Podersdorf am See</t>
  </si>
  <si>
    <t>Illmitz</t>
  </si>
  <si>
    <t>Apetlon</t>
  </si>
  <si>
    <t>Wallern im Burgenland</t>
  </si>
  <si>
    <t>Pamhagen</t>
  </si>
  <si>
    <t>St. Andrä am Zicksee</t>
  </si>
  <si>
    <t>Tadten</t>
  </si>
  <si>
    <t>Andau</t>
  </si>
  <si>
    <t>Neudörfl</t>
  </si>
  <si>
    <t>Bad Sauerbrunn</t>
  </si>
  <si>
    <t>Wiesen</t>
  </si>
  <si>
    <t>Mattersburg</t>
  </si>
  <si>
    <t>Forchtenstein</t>
  </si>
  <si>
    <t>Marz</t>
  </si>
  <si>
    <t>Rohrbach bei Mattersburg</t>
  </si>
  <si>
    <t>Sieggraben</t>
  </si>
  <si>
    <t>Deutschkreutz</t>
  </si>
  <si>
    <t>Nikitsch</t>
  </si>
  <si>
    <t>Großwarasdorf</t>
  </si>
  <si>
    <t>Neckenmarkt</t>
  </si>
  <si>
    <t>Horitschon</t>
  </si>
  <si>
    <t>Lackendorf</t>
  </si>
  <si>
    <t>Lackenbach</t>
  </si>
  <si>
    <t>Ritzing</t>
  </si>
  <si>
    <t>Wartelistenposition</t>
  </si>
  <si>
    <t>Abschlag</t>
  </si>
  <si>
    <t>Aufdach &gt;20</t>
  </si>
  <si>
    <t>Freiland &lt;20</t>
  </si>
  <si>
    <t>Freiland &gt;20</t>
  </si>
  <si>
    <t>Weppersdorf</t>
  </si>
  <si>
    <t>Kobersdorf</t>
  </si>
  <si>
    <t>Markt St. Martin</t>
  </si>
  <si>
    <t>Kaisersdorf</t>
  </si>
  <si>
    <t>Neutal</t>
  </si>
  <si>
    <t>Stoob</t>
  </si>
  <si>
    <t>Oberpullendorf</t>
  </si>
  <si>
    <t>Lutzmannsburg</t>
  </si>
  <si>
    <t>Unterrabnitz</t>
  </si>
  <si>
    <t>Draßmarkt</t>
  </si>
  <si>
    <t>Oberwart</t>
  </si>
  <si>
    <t>Markt Allhau</t>
  </si>
  <si>
    <t>Wolfau</t>
  </si>
  <si>
    <t>Tauchen-Schaueregg</t>
  </si>
  <si>
    <t>St</t>
  </si>
  <si>
    <t>Riedlingsdorf</t>
  </si>
  <si>
    <t>Pinkafeld</t>
  </si>
  <si>
    <t>Bad Tatzmannsdorf</t>
  </si>
  <si>
    <t>Oberschützen</t>
  </si>
  <si>
    <t>Mariasdorf</t>
  </si>
  <si>
    <t>Bernstein</t>
  </si>
  <si>
    <t>Unterkohlstätten</t>
  </si>
  <si>
    <t>Anlagenart</t>
  </si>
  <si>
    <t>tarif</t>
  </si>
  <si>
    <t>energie</t>
  </si>
  <si>
    <t>Energie</t>
  </si>
  <si>
    <t>erzeugte kWh</t>
  </si>
  <si>
    <t>€/kWh</t>
  </si>
  <si>
    <t>test</t>
  </si>
  <si>
    <t>10. Kapitalwerteverlauf</t>
  </si>
  <si>
    <t>test stat</t>
  </si>
  <si>
    <t>test dyn</t>
  </si>
  <si>
    <t>Modulfläche:</t>
  </si>
  <si>
    <t>Bund</t>
  </si>
  <si>
    <t>Gesamt</t>
  </si>
  <si>
    <t>maxförderung 40%</t>
  </si>
  <si>
    <t>Faktor bund</t>
  </si>
  <si>
    <t>Faktor land</t>
  </si>
  <si>
    <t>8. Übersicht über die jährlichen Einnahmen (Barwerte)</t>
  </si>
  <si>
    <t>Energie:</t>
  </si>
  <si>
    <t>Kosten:</t>
  </si>
  <si>
    <t>Volleinspeisung</t>
  </si>
  <si>
    <t>Aufdach &lt;5</t>
  </si>
  <si>
    <t>&gt;5</t>
  </si>
  <si>
    <t>optieren:</t>
  </si>
  <si>
    <t>Invest:</t>
  </si>
  <si>
    <t>untere Grenze</t>
  </si>
  <si>
    <t>obere Grenze</t>
  </si>
  <si>
    <t>Formel unterhalb zum Makrostart</t>
  </si>
  <si>
    <t>9. Darstellung des Tarifs über den Betrachtungszeitraum</t>
  </si>
  <si>
    <t>Alte Formeln für die Berechnung der Klien-förderung</t>
  </si>
  <si>
    <t>Förderhöhe:</t>
  </si>
  <si>
    <t>Die Förderung kann in Form eines nicht rückzahlbaren Direktzuschusses abhängig vom Fördersatz (siehe Richtlinien) auf die tatsächlichen Investitionskosten (=Rechnungssumme) bis zur Höhe der förderbaren Investitionskosten gewährt werden.</t>
  </si>
  <si>
    <t>Die Förderung besteht aus förderbaren Investitionskosten, die pro kWp 2.000 Euro beträgt. Davon ausgehen wird, je nach Jahresertrag der Anlage, der Fördersatz festgelegt und damit die Förderung berechnet.</t>
  </si>
  <si>
    <t>Jahresertrag [kWh/a]/ 27,5</t>
  </si>
  <si>
    <t>Beispiele</t>
  </si>
  <si>
    <t>- &gt; 1.100 kWh - Fördersatz 40 %</t>
  </si>
  <si>
    <t>- &gt; 1.000 kWh - Fördersatz 36,4 %</t>
  </si>
  <si>
    <t>- 900 kWh - Fördersatz 32,7 %</t>
  </si>
  <si>
    <t>- &lt; 900 kWh - Fördersatz 0 %</t>
  </si>
  <si>
    <t>€</t>
  </si>
  <si>
    <t>[€/Austausch]</t>
  </si>
  <si>
    <t>einmal</t>
  </si>
  <si>
    <t>zweimal</t>
  </si>
  <si>
    <t>dreimal</t>
  </si>
  <si>
    <t>viermal</t>
  </si>
  <si>
    <t>Das Ausmaß der Förderung beträgt maximal 40 Prozent der förderfähigen Gesamtkosten in Form eines einmaligen Investitionskostenzuschusses. Für Photovoltaikanlagen ist eine Förderobergrenze von 800 Euro pro kWp bzw. 80.000 Euro pro Förderfall vorgesehen.</t>
  </si>
  <si>
    <t>Voraussetzung dafür sind mindestens 900 Volllaststunden im Jahr unter Nachweis standardisierter Berechnungsmethoden und die Einspeisung ins öffentliche Netz muss möglich sein.</t>
  </si>
  <si>
    <t>ab 3 WE</t>
  </si>
  <si>
    <t>Zum Leitfaden:</t>
  </si>
  <si>
    <t>Zur Registrierung:</t>
  </si>
  <si>
    <t>Zeit</t>
  </si>
  <si>
    <t>Zinsen</t>
  </si>
  <si>
    <t>Tilgung</t>
  </si>
  <si>
    <t>Tilg.+Zinsen</t>
  </si>
  <si>
    <t>Stromgestehungskosten:</t>
  </si>
  <si>
    <r>
      <t>CO</t>
    </r>
    <r>
      <rPr>
        <b/>
        <vertAlign val="subscript"/>
        <sz val="10"/>
        <rFont val="Calibri"/>
        <family val="2"/>
      </rPr>
      <t>2</t>
    </r>
    <r>
      <rPr>
        <b/>
        <sz val="10"/>
        <rFont val="Calibri"/>
        <family val="2"/>
      </rPr>
      <t>:</t>
    </r>
  </si>
  <si>
    <r>
      <t>CO</t>
    </r>
    <r>
      <rPr>
        <vertAlign val="subscript"/>
        <sz val="10"/>
        <rFont val="Calibri"/>
        <family val="2"/>
      </rPr>
      <t>2</t>
    </r>
    <r>
      <rPr>
        <sz val="10"/>
        <rFont val="Calibri"/>
        <family val="2"/>
      </rPr>
      <t>-Einsparungen nach 25 Jahren:</t>
    </r>
  </si>
  <si>
    <r>
      <t>[kg CO</t>
    </r>
    <r>
      <rPr>
        <vertAlign val="subscript"/>
        <sz val="10"/>
        <rFont val="Calibri"/>
        <family val="2"/>
      </rPr>
      <t>2</t>
    </r>
    <r>
      <rPr>
        <sz val="10"/>
        <rFont val="Calibri"/>
        <family val="2"/>
      </rPr>
      <t>]</t>
    </r>
  </si>
  <si>
    <t>Energieertrag (1. Jahr):</t>
  </si>
  <si>
    <t>http://www.oem-ag.at/fileadmin/user_upload/Dokumente/kontingent/Kontingent_tagesaktuelles_Unterstuetzungsvolumen_in_EUR.xls</t>
  </si>
  <si>
    <t>Gesamtkosten der Anlage:</t>
  </si>
  <si>
    <t>Gebäudeintegriert</t>
  </si>
  <si>
    <t>EK [€]:</t>
  </si>
  <si>
    <t>Aktueller Strompreis:</t>
  </si>
  <si>
    <t>EV-Abgabe</t>
  </si>
  <si>
    <t>Interner Zinsfuß:</t>
  </si>
  <si>
    <t>Wechselrichteraustausch in 25 Jahren:</t>
  </si>
  <si>
    <t>f.jetzinger@linzag.at</t>
  </si>
  <si>
    <t>PV Fördersummen 2015</t>
  </si>
  <si>
    <t>55,--</t>
  </si>
  <si>
    <t>535,--</t>
  </si>
  <si>
    <t>590,--</t>
  </si>
  <si>
    <t>645,--</t>
  </si>
  <si>
    <t>700,--</t>
  </si>
  <si>
    <t>Anzahl</t>
  </si>
  <si>
    <t>der</t>
  </si>
  <si>
    <t>Wohneinheiten</t>
  </si>
  <si>
    <t>(WE)</t>
  </si>
  <si>
    <t>Förderungsfähige</t>
  </si>
  <si>
    <t>–</t>
  </si>
  <si>
    <t>neue</t>
  </si>
  <si>
    <t>oder</t>
  </si>
  <si>
    <t>erweiterte</t>
  </si>
  <si>
    <t>Leistung</t>
  </si>
  <si>
    <t>[ab</t>
  </si>
  <si>
    <t>zurechenbaren,</t>
  </si>
  <si>
    <t>erreichten</t>
  </si>
  <si>
    <t>kWp]</t>
  </si>
  <si>
    <t>Förderung</t>
  </si>
  <si>
    <t>Gebäude</t>
  </si>
  <si>
    <t>bis</t>
  </si>
  <si>
    <t>zu</t>
  </si>
  <si>
    <t>WE</t>
  </si>
  <si>
    <t>und</t>
  </si>
  <si>
    <t>gem.</t>
  </si>
  <si>
    <t>Punkt</t>
  </si>
  <si>
    <t>Je</t>
  </si>
  <si>
    <t>erweitert</t>
  </si>
  <si>
    <t>neu</t>
  </si>
  <si>
    <t>ab</t>
  </si>
  <si>
    <t>Wie</t>
  </si>
  <si>
    <t>oben</t>
  </si>
  <si>
    <t>&gt;</t>
  </si>
  <si>
    <t>je</t>
  </si>
  <si>
    <t>weitere</t>
  </si>
  <si>
    <t>max.</t>
  </si>
  <si>
    <t>Wohnung</t>
  </si>
  <si>
    <t>max.15</t>
  </si>
  <si>
    <t>gesamt</t>
  </si>
  <si>
    <t>2.020,--</t>
  </si>
  <si>
    <t>bis 2 WE</t>
  </si>
  <si>
    <t>Erweiterung</t>
  </si>
  <si>
    <t>Zur Homepage:</t>
  </si>
  <si>
    <t>Nähere Informationen zur PV-Förderung (Private):</t>
  </si>
  <si>
    <t>Klima- und Energiefonds Förderaktion Photovoltaik-Anlagen 2017</t>
  </si>
  <si>
    <t>Eine mögliche Förderung wird hier nach Bekanntgabe veröffentlicht.</t>
  </si>
  <si>
    <t>https://www.wien.gv.at/amtshelfer/bauen-wohnen/energie/alternativenergie/oekostromanlagen.html</t>
  </si>
  <si>
    <t>Nähere Informationen zur Speicher-Förderung (Private):</t>
  </si>
  <si>
    <t>http://www.energieinstitut.at/tools/susi/</t>
  </si>
  <si>
    <t>Hilfestellung - Abschätzung des Eigenverbrauchs:</t>
  </si>
  <si>
    <t>Investitionsförderung - Bund</t>
  </si>
  <si>
    <t>aktualisiert und ergänzt in Kooperation mit LINZ STROM GAS WÄRME GmbH</t>
  </si>
  <si>
    <t>https://www.wien.gv.at/amtshelfer/bauen-wohnen/energie/alternativenergie/speicheranlagen.html</t>
  </si>
  <si>
    <t>Landesförderung max. 30% der Investkosten 250€/kWp bis 100kWp, 200€/kWp von 100 bis 500kWp</t>
  </si>
  <si>
    <t>https://www.ktn.gv.at/Service/Formulare-und-Leistungen#search=photovoltaik</t>
  </si>
  <si>
    <t>EAG Investzuschuss</t>
  </si>
  <si>
    <t>A</t>
  </si>
  <si>
    <t>C</t>
  </si>
  <si>
    <t>0,01-10</t>
  </si>
  <si>
    <t>Zu- oder Abschlag?</t>
  </si>
  <si>
    <t>Zuschlag</t>
  </si>
  <si>
    <t>weder noch</t>
  </si>
  <si>
    <t>Weitere Informationen zu Förderungen für Photovoltaik und Speicher erhalten Sie unter:</t>
  </si>
  <si>
    <t>€/kWp und Jahr</t>
  </si>
  <si>
    <t>Sonstige laufende Kosten (z.B. jährliche Pacht):</t>
  </si>
  <si>
    <t>* Entwurf EAG-Investitionszuschüsseverordnung-Strom, max.-Werte ab &gt;20kWp</t>
  </si>
  <si>
    <t>&gt;10-35</t>
  </si>
  <si>
    <t>&gt;35-100</t>
  </si>
  <si>
    <t>https://pvaustria.at/rechtlicher-rahmen/</t>
  </si>
  <si>
    <t>Förderungen aktualisiert am 22.05.2025</t>
  </si>
  <si>
    <t>https://vorarlberg.at/-/oekostrom-und-energiegemeinschaften</t>
  </si>
  <si>
    <t>https://www.salzburg.gv.at/themen/energie/energiefoerderung/photovoltaik-privatehaushalte</t>
  </si>
  <si>
    <t>https://www.technik.steiermark.at/cms/beitrag/12885369/161967760/</t>
  </si>
  <si>
    <t>Landesförderung bis max. 20kWp und max. 50% der förderfähigen Kosten oder 55% Annuitätenzuschuss.</t>
  </si>
  <si>
    <t>https://www.tirol.gv.at/buergerservice/e-government/formulare/photovoltaik-solaranlagen-und-sonnenschutzfoerderung-fuer-wohnhaeuser/</t>
  </si>
  <si>
    <t>Nähere Informationen zur PV-Förderung (Wohnhäuser):</t>
  </si>
  <si>
    <t>Nähere Informationen zur PV-Förderung:</t>
  </si>
  <si>
    <t>https://www.land-oberoesterreich.gv.at/286613.htm</t>
  </si>
  <si>
    <t>Nähere Informationen zur PV-Förderung (öffentliche Parkplätze):</t>
  </si>
  <si>
    <t>Untergrenze</t>
  </si>
  <si>
    <t>Obergrenze</t>
  </si>
  <si>
    <t>Investitionskosten</t>
  </si>
  <si>
    <t>max. förderbare</t>
  </si>
  <si>
    <t>EAG Investzuschuss 2025 = Bundesförderung</t>
  </si>
  <si>
    <t>EUR</t>
  </si>
  <si>
    <t>Förderhöhe</t>
  </si>
  <si>
    <t>Summe aus Bundes und Landesmittel irrelevant, da 2025 keine Kombination möglich.</t>
  </si>
  <si>
    <t>PLZ der Landeshauptstädte</t>
  </si>
  <si>
    <t>Sbg</t>
  </si>
  <si>
    <t>Landesförderung bis max 50% Investkosten. Förderhöhe abgestuft von 380€/kWp unter 4 kWp bis 120 €/kWp bis 10kWp.</t>
  </si>
  <si>
    <t>https://www.eag-abwicklungsstelle.at/</t>
  </si>
  <si>
    <t>https://www.oem-ag.at/de/foerderung/</t>
  </si>
  <si>
    <t>https://www.klimaaktiv.at/photovoltaik-rechner</t>
  </si>
  <si>
    <t>https://www.noe.gv.at/noe/Energie/PV-Ueberdachung_Parkplaetze.html</t>
  </si>
  <si>
    <t>Nähere Informationen zur PV und Speicher-Förderung (Private)</t>
  </si>
  <si>
    <t>Weitere Informationen zum Made-in-Europe-Bonus: (gültig ab 23. Juni 2025)</t>
  </si>
  <si>
    <t>https://www.eag-abwicklungsstelle.at/wissen/made-in-europe-bonus/</t>
  </si>
  <si>
    <t>Made-in-Europe-Bonus</t>
  </si>
  <si>
    <t>Förderungen aktualisiert am 20.06.2025</t>
  </si>
  <si>
    <t>Qualifizierte PV-Module, Wechselrichter und Stromspeicher</t>
  </si>
  <si>
    <t>Made-in-Europe-Bonus ab 23.06.2025</t>
  </si>
  <si>
    <t>Made-in-Europe-Bonus schießt je 10% für Photovoltaik-Module und Wechselrichtre zu.</t>
  </si>
  <si>
    <t>nicht qualifiziert</t>
  </si>
  <si>
    <t>qualifizierte PV-Module</t>
  </si>
  <si>
    <t>qualifizierte/r Wechselrichter</t>
  </si>
  <si>
    <t>Kosten für Komponenten (Annahmen bitte ergänzen)</t>
  </si>
  <si>
    <t>Wechselrichter</t>
  </si>
  <si>
    <t>Zuschuss</t>
  </si>
  <si>
    <t>in EURO</t>
  </si>
  <si>
    <t>10% je Komponente</t>
  </si>
  <si>
    <t>qualif. PV-Module und Wechselrichter</t>
  </si>
  <si>
    <t xml:space="preserve">PV-Module </t>
  </si>
  <si>
    <t xml:space="preserve">Anlagenkomponenten Made-in-Europe:  </t>
  </si>
  <si>
    <r>
      <t>Fördersatz</t>
    </r>
    <r>
      <rPr>
        <sz val="10"/>
        <color theme="0"/>
        <rFont val="Arial"/>
        <family val="2"/>
      </rPr>
      <t xml:space="preserve"> in Abhängigkeit vom Jahresenergieertrag (berechnet laut Anlagenplanung) je kWp:</t>
    </r>
  </si>
  <si>
    <r>
      <t xml:space="preserve">- Beträgt der Jahresertrag zwischen </t>
    </r>
    <r>
      <rPr>
        <b/>
        <sz val="10"/>
        <color theme="0"/>
        <rFont val="Arial"/>
        <family val="2"/>
      </rPr>
      <t>900 kWh/a und 1.100 kWh/a</t>
    </r>
    <r>
      <rPr>
        <sz val="10"/>
        <color theme="0"/>
        <rFont val="Arial"/>
        <family val="2"/>
      </rPr>
      <t>, wird der Fördersatz [%] wie folgt errechnet:</t>
    </r>
  </si>
  <si>
    <r>
      <t xml:space="preserve">- Ist der Jahresertrag </t>
    </r>
    <r>
      <rPr>
        <b/>
        <sz val="10"/>
        <color theme="0"/>
        <rFont val="Arial"/>
        <family val="2"/>
      </rPr>
      <t>&gt; 1.100 kWh/a</t>
    </r>
    <r>
      <rPr>
        <sz val="10"/>
        <color theme="0"/>
        <rFont val="Arial"/>
        <family val="2"/>
      </rPr>
      <t>: Fördersatz = 40 %</t>
    </r>
  </si>
  <si>
    <r>
      <t xml:space="preserve">- Ist der Jahresertrag </t>
    </r>
    <r>
      <rPr>
        <b/>
        <sz val="10"/>
        <color theme="0"/>
        <rFont val="Arial"/>
        <family val="2"/>
      </rPr>
      <t>&lt; 900 kWh/a</t>
    </r>
    <r>
      <rPr>
        <sz val="10"/>
        <color theme="0"/>
        <rFont val="Arial"/>
        <family val="2"/>
      </rPr>
      <t>: Fördersatz = 0 %</t>
    </r>
  </si>
  <si>
    <t>&gt;100</t>
  </si>
  <si>
    <t>Photovoltaikmodule</t>
  </si>
  <si>
    <t>Stromspeicher</t>
  </si>
  <si>
    <t>%</t>
  </si>
  <si>
    <t>Förderbar ab 23.Juni 2025. Auflistung der qualifizierten Produkte im Link rechts.</t>
  </si>
  <si>
    <t>Für qualifizierte Anlagenkomponenten</t>
  </si>
  <si>
    <t>https://www.burgenland.at/fileadmin/user_upload/Downloads/Wohnbaufoerderung/2024/Richtlinie_2025_Stromspeicher_11.12.2024_final_1.pdf</t>
  </si>
  <si>
    <t xml:space="preserve">https://www.eag-abwicklungsstelle.at/wissen/made-in-europe-bonus/ </t>
  </si>
  <si>
    <t>6. Förderquote</t>
  </si>
  <si>
    <t>7. Übersicht zum Eigenverbrauch</t>
  </si>
  <si>
    <t>https://pvaustria.at/nullsteuersatz/</t>
  </si>
  <si>
    <t xml:space="preserve">Informationen zur Nullsteuersatz Neuregelung ab 7. März 2025  </t>
  </si>
  <si>
    <t>Achtung bei PV-Anlagen, wo:</t>
  </si>
  <si>
    <t>* Lieferung ODER Installation der Anlage bis 31.03.2025 abgeschlossen wurde.</t>
  </si>
  <si>
    <t>→ diese Projekte (≤ 35 kWp) unterliegen weiterhin dem Nullsteuersatz!</t>
  </si>
  <si>
    <t>→ sind mit diesen Tool jedoch nicht mehr darstellbar.</t>
  </si>
  <si>
    <t>* Vertrag über Lieferung ODER Installation bis 06.03.2025 abgeschlossen wurde und bis 31.12.2025 umgesetzt wird.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</si>
</sst>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_(* #,##0.00_);_(* \(#,##0.00\);_(* &quot;-&quot;??_);_(@_)"/>
    <numFmt numFmtId="165" formatCode="0.0"/>
    <numFmt numFmtId="166" formatCode="0.000"/>
    <numFmt numFmtId="167" formatCode="0.0000"/>
    <numFmt numFmtId="168" formatCode="0.00000"/>
    <numFmt numFmtId="169" formatCode="#,##0.00\ &quot;€&quot;"/>
    <numFmt numFmtId="170" formatCode="0.0%"/>
    <numFmt numFmtId="171" formatCode="#,##0.0000"/>
    <numFmt numFmtId="172" formatCode="_(* #,##0_);_(* \(#,##0\);_(* &quot;-&quot;??_);_(@_)"/>
    <numFmt numFmtId="173" formatCode="mmm/\ yy"/>
    <numFmt numFmtId="174" formatCode="_(* #,##0.0000_);_(* \(#,##0.0000\);_(* &quot;-&quot;??_);_(@_)"/>
    <numFmt numFmtId="175" formatCode="#,##0.0"/>
    <numFmt numFmtId="176" formatCode="0.00\ &quot;€&quot;"/>
    <numFmt numFmtId="177" formatCode="#\ &quot;€&quot;/1\k\W\p"/>
    <numFmt numFmtId="178" formatCode="####\ &quot;€&quot;\ \p\r\o\ \k\W\p"/>
    <numFmt numFmtId="179" formatCode="0.0000\ &quot;€&quot;"/>
    <numFmt numFmtId="180" formatCode="##\ &quot;Jahre&quot;"/>
  </numFmts>
  <fonts count="88" x14ac:knownFonts="1">
    <font>
      <sz val="10"/>
      <name val="Arial"/>
    </font>
    <font>
      <sz val="10"/>
      <name val="Arial"/>
      <family val="2"/>
    </font>
    <font>
      <sz val="8"/>
      <name val="Arial"/>
      <family val="2"/>
    </font>
    <font>
      <b/>
      <sz val="10"/>
      <name val="Arial"/>
      <family val="2"/>
    </font>
    <font>
      <b/>
      <sz val="10"/>
      <color indexed="9"/>
      <name val="Arial"/>
      <family val="2"/>
    </font>
    <font>
      <sz val="10"/>
      <name val="Arial"/>
      <family val="2"/>
    </font>
    <font>
      <sz val="14"/>
      <name val="Arial"/>
      <family val="2"/>
    </font>
    <font>
      <sz val="10"/>
      <name val="Arial"/>
      <family val="2"/>
    </font>
    <font>
      <sz val="10"/>
      <color indexed="16"/>
      <name val="Arial"/>
      <family val="2"/>
    </font>
    <font>
      <u/>
      <sz val="10"/>
      <color indexed="12"/>
      <name val="Arial"/>
      <family val="2"/>
    </font>
    <font>
      <b/>
      <u/>
      <sz val="10"/>
      <name val="Arial"/>
      <family val="2"/>
    </font>
    <font>
      <sz val="10"/>
      <color indexed="9"/>
      <name val="Arial"/>
      <family val="2"/>
    </font>
    <font>
      <b/>
      <sz val="10"/>
      <name val="Arial"/>
      <family val="2"/>
    </font>
    <font>
      <sz val="10"/>
      <color indexed="9"/>
      <name val="Arial"/>
      <family val="2"/>
    </font>
    <font>
      <u/>
      <sz val="10"/>
      <name val="Arial"/>
      <family val="2"/>
    </font>
    <font>
      <sz val="10"/>
      <name val="Times New Roman"/>
      <family val="1"/>
    </font>
    <font>
      <b/>
      <sz val="12"/>
      <name val="Arial"/>
      <family val="2"/>
    </font>
    <font>
      <sz val="9"/>
      <name val="Arial"/>
      <family val="2"/>
    </font>
    <font>
      <vertAlign val="superscript"/>
      <sz val="10"/>
      <name val="Arial"/>
      <family val="2"/>
    </font>
    <font>
      <sz val="9"/>
      <color indexed="9"/>
      <name val="Arial"/>
      <family val="2"/>
    </font>
    <font>
      <b/>
      <u/>
      <sz val="12"/>
      <color indexed="12"/>
      <name val="Arial"/>
      <family val="2"/>
    </font>
    <font>
      <sz val="10"/>
      <color indexed="10"/>
      <name val="Arial"/>
      <family val="2"/>
    </font>
    <font>
      <b/>
      <sz val="14"/>
      <name val="Arial"/>
      <family val="2"/>
    </font>
    <font>
      <sz val="10"/>
      <name val="Arial"/>
      <family val="2"/>
    </font>
    <font>
      <b/>
      <u/>
      <sz val="12"/>
      <name val="Arial"/>
      <family val="2"/>
    </font>
    <font>
      <b/>
      <sz val="24"/>
      <name val="Arial"/>
      <family val="2"/>
    </font>
    <font>
      <b/>
      <sz val="18"/>
      <name val="Arial"/>
      <family val="2"/>
    </font>
    <font>
      <sz val="12"/>
      <name val="Arial"/>
      <family val="2"/>
    </font>
    <font>
      <b/>
      <sz val="22"/>
      <name val="Arial"/>
      <family val="2"/>
    </font>
    <font>
      <sz val="11"/>
      <name val="Arial"/>
      <family val="2"/>
    </font>
    <font>
      <u/>
      <sz val="10"/>
      <color indexed="9"/>
      <name val="Arial"/>
      <family val="2"/>
    </font>
    <font>
      <sz val="13.5"/>
      <name val="Arial"/>
      <family val="2"/>
    </font>
    <font>
      <u/>
      <sz val="11"/>
      <color indexed="12"/>
      <name val="Arial"/>
      <family val="2"/>
    </font>
    <font>
      <sz val="10"/>
      <name val="Calibri"/>
      <family val="2"/>
    </font>
    <font>
      <b/>
      <sz val="10"/>
      <name val="Calibri"/>
      <family val="2"/>
    </font>
    <font>
      <b/>
      <vertAlign val="subscript"/>
      <sz val="10"/>
      <name val="Calibri"/>
      <family val="2"/>
    </font>
    <font>
      <vertAlign val="subscript"/>
      <sz val="10"/>
      <name val="Calibri"/>
      <family val="2"/>
    </font>
    <font>
      <sz val="11"/>
      <color theme="1"/>
      <name val="Calibri"/>
      <family val="2"/>
      <scheme val="minor"/>
    </font>
    <font>
      <sz val="11"/>
      <color theme="0"/>
      <name val="Calibri"/>
      <family val="2"/>
      <scheme val="minor"/>
    </font>
    <font>
      <sz val="10"/>
      <color rgb="FFFF0000"/>
      <name val="Arial"/>
      <family val="2"/>
    </font>
    <font>
      <sz val="10"/>
      <color theme="0"/>
      <name val="Arial"/>
      <family val="2"/>
    </font>
    <font>
      <sz val="11"/>
      <name val="Calibri"/>
      <family val="2"/>
      <scheme val="minor"/>
    </font>
    <font>
      <sz val="10"/>
      <name val="Calibri"/>
      <family val="2"/>
      <scheme val="minor"/>
    </font>
    <font>
      <b/>
      <u/>
      <sz val="11"/>
      <name val="Calibri"/>
      <family val="2"/>
      <scheme val="minor"/>
    </font>
    <font>
      <b/>
      <sz val="10"/>
      <color theme="0"/>
      <name val="Arial"/>
      <family val="2"/>
    </font>
    <font>
      <b/>
      <u/>
      <sz val="10"/>
      <color theme="0"/>
      <name val="Arial"/>
      <family val="2"/>
    </font>
    <font>
      <b/>
      <sz val="10"/>
      <name val="Calibri"/>
      <family val="2"/>
      <scheme val="minor"/>
    </font>
    <font>
      <sz val="14"/>
      <name val="Calibri"/>
      <family val="2"/>
      <scheme val="minor"/>
    </font>
    <font>
      <b/>
      <sz val="10"/>
      <color indexed="16"/>
      <name val="Calibri"/>
      <family val="2"/>
      <scheme val="minor"/>
    </font>
    <font>
      <sz val="8"/>
      <name val="Calibri"/>
      <family val="2"/>
      <scheme val="minor"/>
    </font>
    <font>
      <b/>
      <sz val="10"/>
      <color indexed="10"/>
      <name val="Calibri"/>
      <family val="2"/>
      <scheme val="minor"/>
    </font>
    <font>
      <sz val="10"/>
      <color indexed="16"/>
      <name val="Calibri"/>
      <family val="2"/>
      <scheme val="minor"/>
    </font>
    <font>
      <u/>
      <sz val="10"/>
      <name val="Calibri"/>
      <family val="2"/>
      <scheme val="minor"/>
    </font>
    <font>
      <b/>
      <sz val="8"/>
      <name val="Calibri"/>
      <family val="2"/>
      <scheme val="minor"/>
    </font>
    <font>
      <i/>
      <sz val="10"/>
      <name val="Calibri"/>
      <family val="2"/>
      <scheme val="minor"/>
    </font>
    <font>
      <sz val="8"/>
      <color indexed="16"/>
      <name val="Calibri"/>
      <family val="2"/>
      <scheme val="minor"/>
    </font>
    <font>
      <sz val="10"/>
      <color rgb="FFFF0000"/>
      <name val="Calibri"/>
      <family val="2"/>
      <scheme val="minor"/>
    </font>
    <font>
      <b/>
      <u/>
      <sz val="12"/>
      <name val="Calibri"/>
      <family val="2"/>
      <scheme val="minor"/>
    </font>
    <font>
      <b/>
      <u/>
      <sz val="10"/>
      <name val="Calibri"/>
      <family val="2"/>
      <scheme val="minor"/>
    </font>
    <font>
      <u/>
      <sz val="10"/>
      <color indexed="12"/>
      <name val="Calibri"/>
      <family val="2"/>
      <scheme val="minor"/>
    </font>
    <font>
      <sz val="10"/>
      <color rgb="FFC00000"/>
      <name val="Calibri"/>
      <family val="2"/>
      <scheme val="minor"/>
    </font>
    <font>
      <sz val="10"/>
      <color theme="0" tint="-0.249977111117893"/>
      <name val="Calibri"/>
      <family val="2"/>
      <scheme val="minor"/>
    </font>
    <font>
      <sz val="9"/>
      <color theme="0" tint="-0.249977111117893"/>
      <name val="Calibri"/>
      <family val="2"/>
      <scheme val="minor"/>
    </font>
    <font>
      <sz val="12"/>
      <color theme="0"/>
      <name val="Calibri"/>
      <family val="2"/>
      <scheme val="minor"/>
    </font>
    <font>
      <sz val="11"/>
      <color theme="0"/>
      <name val="Arial"/>
      <family val="2"/>
    </font>
    <font>
      <sz val="14"/>
      <color theme="0"/>
      <name val="Arial"/>
      <family val="2"/>
    </font>
    <font>
      <sz val="12"/>
      <color rgb="FFFFC000"/>
      <name val="Calibri"/>
      <family val="2"/>
      <scheme val="minor"/>
    </font>
    <font>
      <sz val="10"/>
      <color rgb="FFC00000"/>
      <name val="Arial"/>
      <family val="2"/>
    </font>
    <font>
      <b/>
      <sz val="10"/>
      <color theme="0"/>
      <name val="Calibri"/>
      <family val="2"/>
      <scheme val="minor"/>
    </font>
    <font>
      <sz val="10"/>
      <color theme="0"/>
      <name val="Calibri"/>
      <family val="2"/>
      <scheme val="minor"/>
    </font>
    <font>
      <sz val="10"/>
      <color theme="0"/>
      <name val="Calibri"/>
      <family val="2"/>
    </font>
    <font>
      <b/>
      <u/>
      <sz val="10"/>
      <color theme="0"/>
      <name val="Calibri"/>
      <family val="2"/>
      <scheme val="minor"/>
    </font>
    <font>
      <sz val="9"/>
      <name val="Calibri"/>
      <family val="2"/>
      <scheme val="minor"/>
    </font>
    <font>
      <u/>
      <sz val="10"/>
      <color theme="0"/>
      <name val="Arial"/>
      <family val="2"/>
    </font>
    <font>
      <u/>
      <sz val="10"/>
      <color theme="0"/>
      <name val="Calibri"/>
      <family val="2"/>
      <scheme val="minor"/>
    </font>
    <font>
      <b/>
      <sz val="28"/>
      <name val="Calibri"/>
      <family val="2"/>
      <scheme val="minor"/>
    </font>
    <font>
      <sz val="28"/>
      <name val="Calibri"/>
      <family val="2"/>
      <scheme val="minor"/>
    </font>
    <font>
      <sz val="22"/>
      <name val="Calibri"/>
      <family val="2"/>
      <scheme val="minor"/>
    </font>
    <font>
      <sz val="12"/>
      <name val="Calibri"/>
      <family val="2"/>
      <scheme val="minor"/>
    </font>
    <font>
      <u/>
      <sz val="9"/>
      <color indexed="12"/>
      <name val="Calibri"/>
      <family val="2"/>
      <scheme val="minor"/>
    </font>
    <font>
      <b/>
      <sz val="11"/>
      <name val="Calibri"/>
      <family val="2"/>
      <scheme val="minor"/>
    </font>
    <font>
      <u/>
      <sz val="10"/>
      <color theme="3"/>
      <name val="Arial"/>
      <family val="2"/>
    </font>
    <font>
      <sz val="8"/>
      <color theme="0" tint="-0.249977111117893"/>
      <name val="Calibri"/>
      <family val="2"/>
      <scheme val="minor"/>
    </font>
    <font>
      <sz val="10"/>
      <color rgb="FFFF0000"/>
      <name val="Calibri"/>
      <family val="2"/>
    </font>
    <font>
      <sz val="10"/>
      <color rgb="FFFF0000"/>
      <name val="Arial"/>
      <family val="2"/>
    </font>
    <font>
      <sz val="10"/>
      <color theme="0"/>
      <name val="Arial"/>
      <family val="2"/>
    </font>
    <font>
      <b/>
      <sz val="10"/>
      <color rgb="FFFF0000"/>
      <name val="Calibri"/>
      <family val="2"/>
      <scheme val="minor"/>
    </font>
    <font>
      <sz val="9"/>
      <color theme="0"/>
      <name val="Calibri"/>
      <family val="2"/>
      <scheme val="minor"/>
    </font>
  </fonts>
  <fills count="23">
    <fill>
      <patternFill patternType="none"/>
    </fill>
    <fill>
      <patternFill patternType="gray125"/>
    </fill>
    <fill>
      <patternFill patternType="solid">
        <fgColor indexed="9"/>
        <bgColor indexed="64"/>
      </patternFill>
    </fill>
    <fill>
      <patternFill patternType="solid">
        <fgColor indexed="22"/>
        <bgColor indexed="22"/>
      </patternFill>
    </fill>
    <fill>
      <patternFill patternType="solid">
        <fgColor indexed="22"/>
        <bgColor indexed="64"/>
      </patternFill>
    </fill>
    <fill>
      <patternFill patternType="solid">
        <fgColor indexed="44"/>
        <bgColor indexed="64"/>
      </patternFill>
    </fill>
    <fill>
      <patternFill patternType="solid">
        <fgColor indexed="41"/>
        <bgColor indexed="64"/>
      </patternFill>
    </fill>
    <fill>
      <patternFill patternType="solid">
        <fgColor indexed="9"/>
        <bgColor indexed="22"/>
      </patternFill>
    </fill>
    <fill>
      <patternFill patternType="solid">
        <fgColor indexed="51"/>
        <bgColor indexed="64"/>
      </patternFill>
    </fill>
    <fill>
      <patternFill patternType="solid">
        <fgColor indexed="43"/>
        <bgColor indexed="64"/>
      </patternFill>
    </fill>
    <fill>
      <patternFill patternType="solid">
        <fgColor indexed="13"/>
        <bgColor indexed="64"/>
      </patternFill>
    </fill>
    <fill>
      <patternFill patternType="solid">
        <fgColor indexed="52"/>
        <bgColor indexed="64"/>
      </patternFill>
    </fill>
    <fill>
      <patternFill patternType="solid">
        <fgColor indexed="53"/>
        <bgColor indexed="64"/>
      </patternFill>
    </fill>
    <fill>
      <patternFill patternType="solid">
        <fgColor indexed="10"/>
        <bgColor indexed="64"/>
      </patternFill>
    </fill>
    <fill>
      <patternFill patternType="solid">
        <fgColor theme="0" tint="-0.249977111117893"/>
        <bgColor indexed="64"/>
      </patternFill>
    </fill>
    <fill>
      <patternFill patternType="solid">
        <fgColor theme="0"/>
        <bgColor indexed="64"/>
      </patternFill>
    </fill>
    <fill>
      <patternFill patternType="solid">
        <fgColor theme="0" tint="-0.24994659260841701"/>
        <bgColor indexed="22"/>
      </patternFill>
    </fill>
    <fill>
      <patternFill patternType="solid">
        <fgColor theme="0"/>
        <bgColor indexed="22"/>
      </patternFill>
    </fill>
    <fill>
      <patternFill patternType="solid">
        <fgColor theme="0"/>
        <bgColor theme="0" tint="-0.24994659260841701"/>
      </patternFill>
    </fill>
    <fill>
      <patternFill patternType="solid">
        <fgColor theme="0" tint="-0.24994659260841701"/>
        <bgColor indexed="64"/>
      </patternFill>
    </fill>
    <fill>
      <patternFill patternType="solid">
        <fgColor rgb="FF015198"/>
        <bgColor indexed="10"/>
      </patternFill>
    </fill>
    <fill>
      <patternFill patternType="solid">
        <fgColor rgb="FF015198"/>
        <bgColor indexed="64"/>
      </patternFill>
    </fill>
    <fill>
      <patternFill patternType="solid">
        <fgColor theme="0" tint="-0.249977111117893"/>
        <bgColor indexed="22"/>
      </patternFill>
    </fill>
  </fills>
  <borders count="62">
    <border>
      <left/>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thin">
        <color theme="0" tint="-0.499984740745262"/>
      </bottom>
      <diagonal/>
    </border>
    <border>
      <left/>
      <right/>
      <top style="thin">
        <color theme="0" tint="-0.499984740745262"/>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thin">
        <color theme="0" tint="-0.499984740745262"/>
      </right>
      <top/>
      <bottom/>
      <diagonal/>
    </border>
    <border>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double">
        <color theme="0" tint="-0.499984740745262"/>
      </bottom>
      <diagonal/>
    </border>
    <border>
      <left style="thin">
        <color theme="0" tint="-0.499984740745262"/>
      </left>
      <right style="thin">
        <color theme="0" tint="-0.499984740745262"/>
      </right>
      <top style="thin">
        <color theme="0" tint="-0.499984740745262"/>
      </top>
      <bottom style="double">
        <color theme="0" tint="-0.499984740745262"/>
      </bottom>
      <diagonal/>
    </border>
    <border>
      <left style="thin">
        <color theme="0" tint="-0.499984740745262"/>
      </left>
      <right/>
      <top style="thin">
        <color theme="0" tint="-0.499984740745262"/>
      </top>
      <bottom style="double">
        <color theme="0" tint="-0.499984740745262"/>
      </bottom>
      <diagonal/>
    </border>
    <border>
      <left/>
      <right style="thin">
        <color theme="0" tint="-0.499984740745262"/>
      </right>
      <top style="double">
        <color theme="0" tint="-0.499984740745262"/>
      </top>
      <bottom style="thin">
        <color theme="0" tint="-0.499984740745262"/>
      </bottom>
      <diagonal/>
    </border>
    <border>
      <left style="thin">
        <color theme="0" tint="-0.499984740745262"/>
      </left>
      <right style="thin">
        <color theme="0" tint="-0.499984740745262"/>
      </right>
      <top style="double">
        <color theme="0" tint="-0.499984740745262"/>
      </top>
      <bottom style="thin">
        <color theme="0" tint="-0.499984740745262"/>
      </bottom>
      <diagonal/>
    </border>
    <border>
      <left style="thin">
        <color theme="0" tint="-0.499984740745262"/>
      </left>
      <right/>
      <top style="double">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1" tint="0.499984740745262"/>
      </left>
      <right style="thin">
        <color theme="0" tint="-0.499984740745262"/>
      </right>
      <top style="thin">
        <color theme="0" tint="-0.499984740745262"/>
      </top>
      <bottom style="thin">
        <color theme="0" tint="-0.499984740745262"/>
      </bottom>
      <diagonal/>
    </border>
    <border>
      <left style="thin">
        <color theme="1" tint="0.499984740745262"/>
      </left>
      <right style="thin">
        <color theme="0" tint="-0.499984740745262"/>
      </right>
      <top style="thin">
        <color theme="0" tint="-0.499984740745262"/>
      </top>
      <bottom style="thin">
        <color theme="1" tint="0.499984740745262"/>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diagonal/>
    </border>
    <border>
      <left style="thin">
        <color theme="0" tint="-0.499984740745262"/>
      </left>
      <right style="thin">
        <color theme="1" tint="0.499984740745262"/>
      </right>
      <top/>
      <bottom style="thin">
        <color theme="0" tint="-0.499984740745262"/>
      </bottom>
      <diagonal/>
    </border>
    <border>
      <left style="thin">
        <color theme="0" tint="-0.499984740745262"/>
      </left>
      <right style="thin">
        <color theme="1"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1" tint="0.499984740745262"/>
      </bottom>
      <diagonal/>
    </border>
    <border>
      <left style="thin">
        <color theme="0" tint="-0.499984740745262"/>
      </left>
      <right style="thin">
        <color theme="1" tint="0.499984740745262"/>
      </right>
      <top style="thin">
        <color theme="0" tint="-0.499984740745262"/>
      </top>
      <bottom style="thin">
        <color theme="1" tint="0.499984740745262"/>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right style="thin">
        <color theme="0"/>
      </right>
      <top style="thin">
        <color theme="0"/>
      </top>
      <bottom/>
      <diagonal/>
    </border>
    <border>
      <left style="thin">
        <color theme="0"/>
      </left>
      <right style="thin">
        <color theme="0"/>
      </right>
      <top style="thin">
        <color theme="0"/>
      </top>
      <bottom/>
      <diagonal/>
    </border>
    <border>
      <left style="thin">
        <color theme="0"/>
      </left>
      <right/>
      <top style="thin">
        <color theme="0"/>
      </top>
      <bottom/>
      <diagonal/>
    </border>
    <border>
      <left/>
      <right/>
      <top style="thin">
        <color theme="0" tint="-0.499984740745262"/>
      </top>
      <bottom style="thin">
        <color theme="0" tint="-0.499984740745262"/>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s>
  <cellStyleXfs count="6">
    <xf numFmtId="0" fontId="0" fillId="0" borderId="0"/>
    <xf numFmtId="0" fontId="9" fillId="0" borderId="0" applyNumberFormat="0" applyFill="0" applyBorder="0" applyAlignment="0" applyProtection="0">
      <alignment vertical="top"/>
      <protection locked="0"/>
    </xf>
    <xf numFmtId="164" fontId="1" fillId="0" borderId="0" applyFont="0" applyFill="0" applyBorder="0" applyAlignment="0" applyProtection="0"/>
    <xf numFmtId="9" fontId="1" fillId="0" borderId="0" applyFont="0" applyFill="0" applyBorder="0" applyAlignment="0" applyProtection="0"/>
    <xf numFmtId="0" fontId="37" fillId="0" borderId="0"/>
    <xf numFmtId="0" fontId="15" fillId="0" borderId="0"/>
  </cellStyleXfs>
  <cellXfs count="554">
    <xf numFmtId="0" fontId="0" fillId="0" borderId="0" xfId="0"/>
    <xf numFmtId="0" fontId="0" fillId="2" borderId="0" xfId="0" applyFill="1" applyProtection="1"/>
    <xf numFmtId="0" fontId="0" fillId="2" borderId="0" xfId="0" applyFill="1" applyAlignment="1" applyProtection="1">
      <alignment horizontal="center"/>
    </xf>
    <xf numFmtId="0" fontId="0" fillId="2" borderId="0" xfId="0" applyFill="1" applyBorder="1" applyProtection="1"/>
    <xf numFmtId="0" fontId="3" fillId="2" borderId="0" xfId="0" applyFont="1" applyFill="1" applyProtection="1"/>
    <xf numFmtId="0" fontId="0" fillId="2" borderId="0" xfId="0" applyFill="1" applyBorder="1" applyAlignment="1" applyProtection="1">
      <alignment horizontal="center"/>
    </xf>
    <xf numFmtId="0" fontId="3" fillId="2" borderId="0" xfId="0" applyFont="1" applyFill="1" applyAlignment="1" applyProtection="1">
      <alignment horizontal="right"/>
    </xf>
    <xf numFmtId="3" fontId="0" fillId="2" borderId="0" xfId="0" applyNumberFormat="1" applyFill="1" applyProtection="1"/>
    <xf numFmtId="0" fontId="1" fillId="3" borderId="0" xfId="0" applyFont="1" applyFill="1" applyBorder="1" applyAlignment="1" applyProtection="1">
      <alignment horizontal="right" vertical="center"/>
    </xf>
    <xf numFmtId="0" fontId="8" fillId="2" borderId="0" xfId="0" applyFont="1" applyFill="1" applyProtection="1"/>
    <xf numFmtId="0" fontId="0" fillId="4" borderId="0" xfId="0" applyFill="1" applyBorder="1" applyProtection="1"/>
    <xf numFmtId="0" fontId="7" fillId="4" borderId="0" xfId="0" applyFont="1" applyFill="1" applyBorder="1" applyProtection="1"/>
    <xf numFmtId="0" fontId="3" fillId="4" borderId="0" xfId="0" applyFont="1" applyFill="1" applyBorder="1" applyAlignment="1" applyProtection="1">
      <alignment horizontal="right"/>
    </xf>
    <xf numFmtId="0" fontId="3" fillId="4" borderId="0" xfId="0" applyFont="1" applyFill="1" applyBorder="1" applyProtection="1"/>
    <xf numFmtId="0" fontId="10" fillId="2" borderId="0" xfId="0" applyFont="1" applyFill="1" applyProtection="1"/>
    <xf numFmtId="3" fontId="0" fillId="2" borderId="0" xfId="0" applyNumberFormat="1" applyFill="1" applyBorder="1" applyProtection="1"/>
    <xf numFmtId="0" fontId="10" fillId="2" borderId="0" xfId="0" applyFont="1" applyFill="1" applyBorder="1" applyProtection="1"/>
    <xf numFmtId="0" fontId="0" fillId="2" borderId="1" xfId="0" applyFill="1" applyBorder="1" applyProtection="1"/>
    <xf numFmtId="0" fontId="0" fillId="2" borderId="2" xfId="0" applyFill="1" applyBorder="1" applyAlignment="1" applyProtection="1">
      <alignment horizontal="center"/>
    </xf>
    <xf numFmtId="0" fontId="0" fillId="2" borderId="2" xfId="0" applyNumberFormat="1" applyFill="1" applyBorder="1" applyAlignment="1" applyProtection="1">
      <alignment horizontal="center"/>
    </xf>
    <xf numFmtId="2" fontId="0" fillId="2" borderId="3" xfId="0" applyNumberFormat="1" applyFill="1" applyBorder="1" applyProtection="1"/>
    <xf numFmtId="0" fontId="3" fillId="5" borderId="4" xfId="0" applyFont="1" applyFill="1" applyBorder="1" applyAlignment="1" applyProtection="1">
      <alignment horizontal="right"/>
    </xf>
    <xf numFmtId="0" fontId="3" fillId="5" borderId="5" xfId="0" applyFont="1" applyFill="1" applyBorder="1" applyProtection="1"/>
    <xf numFmtId="0" fontId="3" fillId="5" borderId="6" xfId="0" applyFont="1" applyFill="1" applyBorder="1" applyProtection="1"/>
    <xf numFmtId="0" fontId="0" fillId="2" borderId="7" xfId="0" applyFill="1" applyBorder="1" applyProtection="1"/>
    <xf numFmtId="0" fontId="0" fillId="2" borderId="8" xfId="0" applyFill="1" applyBorder="1" applyAlignment="1" applyProtection="1">
      <alignment horizontal="center"/>
    </xf>
    <xf numFmtId="0" fontId="0" fillId="2" borderId="8" xfId="0" applyNumberFormat="1" applyFill="1" applyBorder="1" applyAlignment="1" applyProtection="1">
      <alignment horizontal="center"/>
    </xf>
    <xf numFmtId="2" fontId="0" fillId="2" borderId="9" xfId="0" applyNumberFormat="1" applyFill="1" applyBorder="1" applyProtection="1"/>
    <xf numFmtId="0" fontId="3" fillId="5" borderId="10" xfId="0" applyFont="1" applyFill="1" applyBorder="1" applyAlignment="1" applyProtection="1">
      <alignment horizontal="right"/>
    </xf>
    <xf numFmtId="0" fontId="3" fillId="5" borderId="0" xfId="0" applyFont="1" applyFill="1" applyBorder="1" applyProtection="1"/>
    <xf numFmtId="0" fontId="3" fillId="5" borderId="11" xfId="0" applyFont="1" applyFill="1" applyBorder="1" applyProtection="1"/>
    <xf numFmtId="0" fontId="3" fillId="5" borderId="12" xfId="0" applyFont="1" applyFill="1" applyBorder="1" applyAlignment="1" applyProtection="1">
      <alignment horizontal="right"/>
    </xf>
    <xf numFmtId="0" fontId="3" fillId="5" borderId="13" xfId="0" applyFont="1" applyFill="1" applyBorder="1" applyProtection="1"/>
    <xf numFmtId="0" fontId="3" fillId="5" borderId="14" xfId="0" applyFont="1" applyFill="1" applyBorder="1" applyAlignment="1" applyProtection="1">
      <alignment horizontal="center"/>
    </xf>
    <xf numFmtId="0" fontId="0" fillId="2" borderId="15" xfId="0" applyFill="1" applyBorder="1" applyProtection="1"/>
    <xf numFmtId="0" fontId="0" fillId="2" borderId="16" xfId="0" applyFill="1" applyBorder="1" applyAlignment="1" applyProtection="1">
      <alignment horizontal="center"/>
    </xf>
    <xf numFmtId="0" fontId="0" fillId="2" borderId="16" xfId="0" applyNumberFormat="1" applyFill="1" applyBorder="1" applyAlignment="1" applyProtection="1">
      <alignment horizontal="center"/>
    </xf>
    <xf numFmtId="2" fontId="0" fillId="2" borderId="17" xfId="0" applyNumberFormat="1" applyFill="1" applyBorder="1" applyProtection="1"/>
    <xf numFmtId="0" fontId="3" fillId="5" borderId="18" xfId="0" applyFont="1" applyFill="1" applyBorder="1" applyProtection="1"/>
    <xf numFmtId="0" fontId="0" fillId="2" borderId="0" xfId="0" quotePrefix="1" applyNumberFormat="1" applyFill="1" applyBorder="1" applyAlignment="1" applyProtection="1">
      <alignment horizontal="left"/>
    </xf>
    <xf numFmtId="0" fontId="0" fillId="2" borderId="0" xfId="0" quotePrefix="1" applyNumberFormat="1" applyFill="1" applyBorder="1" applyAlignment="1" applyProtection="1">
      <alignment horizontal="center"/>
    </xf>
    <xf numFmtId="0" fontId="14" fillId="6" borderId="4" xfId="0" applyFont="1" applyFill="1" applyBorder="1" applyProtection="1"/>
    <xf numFmtId="0" fontId="0" fillId="6" borderId="5" xfId="0" applyFill="1" applyBorder="1" applyProtection="1"/>
    <xf numFmtId="0" fontId="0" fillId="6" borderId="6" xfId="0" applyFill="1" applyBorder="1" applyProtection="1"/>
    <xf numFmtId="0" fontId="0" fillId="6" borderId="10" xfId="0" applyFill="1" applyBorder="1" applyProtection="1"/>
    <xf numFmtId="0" fontId="0" fillId="6" borderId="0" xfId="0" applyFill="1" applyBorder="1" applyProtection="1"/>
    <xf numFmtId="0" fontId="0" fillId="6" borderId="11" xfId="0" applyFill="1" applyBorder="1" applyProtection="1"/>
    <xf numFmtId="0" fontId="0" fillId="6" borderId="12" xfId="0" applyFill="1" applyBorder="1" applyProtection="1"/>
    <xf numFmtId="0" fontId="0" fillId="6" borderId="13" xfId="0" applyFill="1" applyBorder="1" applyProtection="1"/>
    <xf numFmtId="0" fontId="0" fillId="6" borderId="14" xfId="0" applyFill="1" applyBorder="1" applyProtection="1"/>
    <xf numFmtId="0" fontId="16" fillId="2" borderId="0" xfId="0" applyFont="1" applyFill="1" applyAlignment="1" applyProtection="1">
      <alignment horizontal="left"/>
    </xf>
    <xf numFmtId="0" fontId="17" fillId="2" borderId="0" xfId="0" applyFont="1" applyFill="1" applyAlignment="1" applyProtection="1">
      <alignment horizontal="center"/>
    </xf>
    <xf numFmtId="0" fontId="17" fillId="2" borderId="0" xfId="0" applyFont="1" applyFill="1" applyAlignment="1" applyProtection="1">
      <alignment horizontal="left"/>
    </xf>
    <xf numFmtId="0" fontId="3" fillId="2" borderId="0" xfId="0" applyFont="1" applyFill="1" applyAlignment="1" applyProtection="1">
      <alignment horizontal="left"/>
    </xf>
    <xf numFmtId="0" fontId="1" fillId="2" borderId="0" xfId="0" applyFont="1" applyFill="1" applyBorder="1" applyProtection="1"/>
    <xf numFmtId="0" fontId="0" fillId="0" borderId="0" xfId="0" applyBorder="1" applyProtection="1"/>
    <xf numFmtId="0" fontId="5" fillId="2" borderId="0" xfId="0" applyFont="1" applyFill="1" applyBorder="1" applyProtection="1"/>
    <xf numFmtId="0" fontId="1" fillId="2" borderId="0" xfId="0" applyFont="1" applyFill="1" applyBorder="1" applyAlignment="1" applyProtection="1">
      <alignment horizontal="right"/>
    </xf>
    <xf numFmtId="0" fontId="9" fillId="2" borderId="0" xfId="1" applyFill="1" applyBorder="1" applyAlignment="1" applyProtection="1"/>
    <xf numFmtId="0" fontId="14" fillId="2" borderId="0" xfId="0" applyFont="1" applyFill="1" applyBorder="1" applyProtection="1"/>
    <xf numFmtId="0" fontId="0" fillId="2" borderId="0" xfId="0" applyFill="1" applyBorder="1" applyAlignment="1" applyProtection="1">
      <alignment horizontal="left"/>
    </xf>
    <xf numFmtId="0" fontId="11" fillId="2" borderId="0" xfId="0" applyFont="1" applyFill="1" applyBorder="1" applyAlignment="1" applyProtection="1">
      <alignment horizontal="center"/>
    </xf>
    <xf numFmtId="0" fontId="19" fillId="2" borderId="0" xfId="0" applyFont="1" applyFill="1" applyBorder="1" applyAlignment="1" applyProtection="1">
      <alignment horizontal="center"/>
    </xf>
    <xf numFmtId="0" fontId="19" fillId="2" borderId="0" xfId="5" applyFont="1" applyFill="1" applyBorder="1" applyAlignment="1" applyProtection="1">
      <alignment horizontal="center"/>
    </xf>
    <xf numFmtId="17" fontId="19" fillId="2" borderId="0" xfId="5" applyNumberFormat="1" applyFont="1" applyFill="1" applyBorder="1" applyAlignment="1" applyProtection="1">
      <alignment horizontal="center"/>
    </xf>
    <xf numFmtId="17" fontId="19" fillId="2" borderId="0" xfId="0" applyNumberFormat="1" applyFont="1" applyFill="1" applyBorder="1" applyAlignment="1" applyProtection="1">
      <alignment horizontal="center" vertical="center"/>
    </xf>
    <xf numFmtId="173" fontId="19" fillId="2" borderId="0" xfId="0" applyNumberFormat="1" applyFont="1" applyFill="1" applyBorder="1" applyAlignment="1" applyProtection="1">
      <alignment horizontal="center" vertical="center"/>
    </xf>
    <xf numFmtId="0" fontId="19" fillId="2" borderId="0" xfId="0" applyFont="1" applyFill="1" applyBorder="1" applyAlignment="1" applyProtection="1">
      <alignment horizontal="center" vertical="center"/>
    </xf>
    <xf numFmtId="2" fontId="19" fillId="2" borderId="0" xfId="0" applyNumberFormat="1" applyFont="1" applyFill="1" applyBorder="1" applyAlignment="1" applyProtection="1">
      <alignment horizontal="center" vertical="center"/>
    </xf>
    <xf numFmtId="2" fontId="4" fillId="2" borderId="0" xfId="0" applyNumberFormat="1" applyFont="1" applyFill="1" applyBorder="1" applyAlignment="1" applyProtection="1">
      <alignment horizontal="center"/>
    </xf>
    <xf numFmtId="0" fontId="19" fillId="2" borderId="0" xfId="0" applyFont="1" applyFill="1" applyAlignment="1" applyProtection="1">
      <alignment horizontal="left"/>
    </xf>
    <xf numFmtId="0" fontId="19" fillId="2" borderId="0" xfId="0" applyFont="1" applyFill="1" applyAlignment="1" applyProtection="1">
      <alignment horizontal="center"/>
    </xf>
    <xf numFmtId="2" fontId="19" fillId="2" borderId="0" xfId="0" applyNumberFormat="1" applyFont="1" applyFill="1" applyAlignment="1" applyProtection="1">
      <alignment horizontal="center"/>
    </xf>
    <xf numFmtId="2" fontId="13" fillId="2" borderId="0" xfId="0" applyNumberFormat="1" applyFont="1" applyFill="1" applyBorder="1" applyAlignment="1" applyProtection="1">
      <alignment horizontal="center"/>
    </xf>
    <xf numFmtId="0" fontId="11" fillId="2" borderId="0" xfId="0" quotePrefix="1" applyNumberFormat="1" applyFont="1" applyFill="1" applyBorder="1" applyAlignment="1" applyProtection="1">
      <alignment horizontal="center"/>
    </xf>
    <xf numFmtId="0" fontId="3" fillId="2" borderId="0" xfId="0" quotePrefix="1" applyNumberFormat="1" applyFont="1" applyFill="1" applyBorder="1" applyAlignment="1" applyProtection="1">
      <alignment horizontal="center"/>
    </xf>
    <xf numFmtId="0" fontId="3" fillId="2" borderId="0" xfId="0" quotePrefix="1" applyNumberFormat="1" applyFont="1" applyFill="1" applyBorder="1" applyAlignment="1" applyProtection="1">
      <alignment horizontal="left"/>
    </xf>
    <xf numFmtId="0" fontId="4" fillId="2" borderId="0" xfId="0" quotePrefix="1" applyNumberFormat="1" applyFont="1" applyFill="1" applyBorder="1" applyAlignment="1" applyProtection="1">
      <alignment horizontal="center"/>
    </xf>
    <xf numFmtId="0" fontId="21" fillId="2" borderId="0" xfId="0" applyFont="1" applyFill="1" applyProtection="1"/>
    <xf numFmtId="0" fontId="1" fillId="2" borderId="0" xfId="0" applyFont="1" applyFill="1" applyProtection="1"/>
    <xf numFmtId="0" fontId="13" fillId="2" borderId="0" xfId="0" applyFont="1" applyFill="1" applyProtection="1"/>
    <xf numFmtId="0" fontId="1" fillId="2" borderId="0" xfId="0" applyFont="1" applyFill="1" applyBorder="1" applyProtection="1">
      <protection locked="0"/>
    </xf>
    <xf numFmtId="0" fontId="5" fillId="2" borderId="0" xfId="0" applyFont="1" applyFill="1" applyProtection="1"/>
    <xf numFmtId="0" fontId="5" fillId="2" borderId="0" xfId="0" applyFont="1" applyFill="1" applyAlignment="1" applyProtection="1">
      <alignment horizontal="left"/>
    </xf>
    <xf numFmtId="0" fontId="5" fillId="4" borderId="0" xfId="0" applyFont="1" applyFill="1" applyBorder="1" applyProtection="1"/>
    <xf numFmtId="0" fontId="24" fillId="2" borderId="0" xfId="0" applyFont="1" applyFill="1" applyProtection="1">
      <protection locked="0"/>
    </xf>
    <xf numFmtId="3" fontId="23" fillId="2" borderId="0" xfId="0" applyNumberFormat="1" applyFont="1" applyFill="1" applyProtection="1"/>
    <xf numFmtId="0" fontId="23" fillId="2" borderId="0" xfId="0" applyFont="1" applyFill="1" applyProtection="1"/>
    <xf numFmtId="0" fontId="9" fillId="4" borderId="0" xfId="1" applyFill="1" applyBorder="1" applyAlignment="1" applyProtection="1">
      <protection locked="0"/>
    </xf>
    <xf numFmtId="0" fontId="9" fillId="4" borderId="0" xfId="1" applyFill="1" applyBorder="1" applyAlignment="1" applyProtection="1"/>
    <xf numFmtId="0" fontId="0" fillId="2" borderId="0" xfId="0" applyFill="1"/>
    <xf numFmtId="0" fontId="25" fillId="2" borderId="0" xfId="0" applyFont="1" applyFill="1"/>
    <xf numFmtId="0" fontId="12" fillId="2" borderId="0" xfId="0" applyFont="1" applyFill="1"/>
    <xf numFmtId="0" fontId="9" fillId="2" borderId="0" xfId="1" applyFill="1" applyAlignment="1" applyProtection="1"/>
    <xf numFmtId="0" fontId="26" fillId="2" borderId="0" xfId="0" applyFont="1" applyFill="1"/>
    <xf numFmtId="0" fontId="12" fillId="2" borderId="0" xfId="0" applyFont="1" applyFill="1" applyBorder="1"/>
    <xf numFmtId="0" fontId="0" fillId="2" borderId="0" xfId="0" applyFill="1" applyBorder="1"/>
    <xf numFmtId="0" fontId="0" fillId="4" borderId="0" xfId="0" applyFill="1" applyBorder="1" applyAlignment="1" applyProtection="1"/>
    <xf numFmtId="165" fontId="3" fillId="4" borderId="0" xfId="0" applyNumberFormat="1" applyFont="1" applyFill="1" applyBorder="1" applyProtection="1"/>
    <xf numFmtId="0" fontId="10" fillId="2" borderId="0" xfId="0" applyFont="1" applyFill="1" applyProtection="1">
      <protection locked="0"/>
    </xf>
    <xf numFmtId="0" fontId="39" fillId="2" borderId="0" xfId="0" applyFont="1" applyFill="1" applyProtection="1"/>
    <xf numFmtId="3" fontId="39" fillId="2" borderId="0" xfId="0" applyNumberFormat="1" applyFont="1" applyFill="1" applyProtection="1"/>
    <xf numFmtId="0" fontId="39" fillId="2" borderId="0" xfId="0" applyFont="1" applyFill="1" applyBorder="1" applyProtection="1"/>
    <xf numFmtId="0" fontId="4" fillId="14" borderId="19" xfId="0" applyFont="1" applyFill="1" applyBorder="1" applyAlignment="1" applyProtection="1">
      <alignment horizontal="center"/>
    </xf>
    <xf numFmtId="0" fontId="4" fillId="14" borderId="20" xfId="0" applyFont="1" applyFill="1" applyBorder="1" applyAlignment="1" applyProtection="1">
      <alignment horizontal="center"/>
    </xf>
    <xf numFmtId="0" fontId="4" fillId="14" borderId="6" xfId="0" applyFont="1" applyFill="1" applyBorder="1" applyAlignment="1" applyProtection="1">
      <alignment horizontal="center"/>
    </xf>
    <xf numFmtId="0" fontId="4" fillId="14" borderId="21" xfId="0" applyFont="1" applyFill="1" applyBorder="1" applyAlignment="1" applyProtection="1">
      <alignment horizontal="center"/>
    </xf>
    <xf numFmtId="0" fontId="4" fillId="14" borderId="22" xfId="0" applyFont="1" applyFill="1" applyBorder="1" applyAlignment="1" applyProtection="1">
      <alignment horizontal="center"/>
    </xf>
    <xf numFmtId="0" fontId="11" fillId="14" borderId="14" xfId="0" applyFont="1" applyFill="1" applyBorder="1" applyProtection="1"/>
    <xf numFmtId="0" fontId="0" fillId="14" borderId="0" xfId="0" applyFill="1" applyBorder="1" applyProtection="1"/>
    <xf numFmtId="3" fontId="0" fillId="14" borderId="0" xfId="0" applyNumberFormat="1" applyFill="1" applyBorder="1" applyProtection="1"/>
    <xf numFmtId="0" fontId="5" fillId="0" borderId="0" xfId="0" applyFont="1" applyBorder="1"/>
    <xf numFmtId="0" fontId="40" fillId="15" borderId="0" xfId="0" applyFont="1" applyFill="1" applyBorder="1" applyProtection="1"/>
    <xf numFmtId="0" fontId="40" fillId="15" borderId="0" xfId="0" applyFont="1" applyFill="1" applyProtection="1"/>
    <xf numFmtId="0" fontId="40" fillId="15" borderId="0" xfId="0" applyFont="1" applyFill="1" applyBorder="1" applyAlignment="1" applyProtection="1">
      <alignment horizontal="center"/>
    </xf>
    <xf numFmtId="3" fontId="40" fillId="15" borderId="0" xfId="0" applyNumberFormat="1" applyFont="1" applyFill="1" applyBorder="1" applyProtection="1"/>
    <xf numFmtId="2" fontId="40" fillId="15" borderId="0" xfId="0" applyNumberFormat="1" applyFont="1" applyFill="1" applyBorder="1" applyProtection="1"/>
    <xf numFmtId="4" fontId="40" fillId="15" borderId="0" xfId="0" applyNumberFormat="1" applyFont="1" applyFill="1" applyBorder="1" applyProtection="1"/>
    <xf numFmtId="0" fontId="39" fillId="15" borderId="0" xfId="0" applyFont="1" applyFill="1" applyBorder="1" applyProtection="1"/>
    <xf numFmtId="0" fontId="39" fillId="15" borderId="0" xfId="0" applyFont="1" applyFill="1" applyProtection="1"/>
    <xf numFmtId="0" fontId="0" fillId="15" borderId="0" xfId="0" applyFill="1" applyProtection="1"/>
    <xf numFmtId="0" fontId="5" fillId="15" borderId="0" xfId="0" applyFont="1" applyFill="1" applyProtection="1"/>
    <xf numFmtId="0" fontId="39" fillId="15" borderId="0" xfId="0" applyFont="1" applyFill="1"/>
    <xf numFmtId="9" fontId="39" fillId="15" borderId="0" xfId="3" applyFont="1" applyFill="1" applyProtection="1"/>
    <xf numFmtId="17" fontId="39" fillId="15" borderId="0" xfId="0" applyNumberFormat="1" applyFont="1" applyFill="1" applyProtection="1"/>
    <xf numFmtId="0" fontId="41" fillId="2" borderId="0" xfId="0" applyFont="1" applyFill="1" applyBorder="1" applyProtection="1"/>
    <xf numFmtId="0" fontId="42" fillId="2" borderId="0" xfId="0" applyFont="1" applyFill="1" applyBorder="1" applyProtection="1"/>
    <xf numFmtId="3" fontId="42" fillId="2" borderId="0" xfId="0" applyNumberFormat="1" applyFont="1" applyFill="1" applyBorder="1" applyProtection="1"/>
    <xf numFmtId="0" fontId="43" fillId="2" borderId="0" xfId="0" applyFont="1" applyFill="1" applyBorder="1" applyProtection="1"/>
    <xf numFmtId="3" fontId="41" fillId="2" borderId="0" xfId="0" applyNumberFormat="1" applyFont="1" applyFill="1" applyBorder="1" applyProtection="1"/>
    <xf numFmtId="3" fontId="29" fillId="2" borderId="0" xfId="0" applyNumberFormat="1" applyFont="1" applyFill="1" applyBorder="1" applyProtection="1"/>
    <xf numFmtId="0" fontId="31" fillId="15" borderId="0" xfId="0" applyFont="1" applyFill="1"/>
    <xf numFmtId="0" fontId="44" fillId="15" borderId="0" xfId="0" applyFont="1" applyFill="1" applyBorder="1" applyAlignment="1" applyProtection="1">
      <alignment horizontal="center"/>
    </xf>
    <xf numFmtId="2" fontId="40" fillId="15" borderId="0" xfId="0" applyNumberFormat="1" applyFont="1" applyFill="1" applyBorder="1" applyAlignment="1" applyProtection="1">
      <alignment horizontal="center"/>
    </xf>
    <xf numFmtId="0" fontId="45" fillId="15" borderId="0" xfId="0" applyFont="1" applyFill="1" applyBorder="1" applyProtection="1"/>
    <xf numFmtId="0" fontId="40" fillId="2" borderId="0" xfId="0" applyFont="1" applyFill="1" applyBorder="1" applyProtection="1"/>
    <xf numFmtId="0" fontId="42" fillId="3" borderId="0" xfId="0" applyFont="1" applyFill="1" applyBorder="1" applyAlignment="1" applyProtection="1">
      <alignment horizontal="right" vertical="center"/>
    </xf>
    <xf numFmtId="0" fontId="42" fillId="4" borderId="0" xfId="0" applyFont="1" applyFill="1" applyBorder="1" applyAlignment="1" applyProtection="1">
      <alignment horizontal="right"/>
    </xf>
    <xf numFmtId="175" fontId="42" fillId="3" borderId="0" xfId="0" applyNumberFormat="1" applyFont="1" applyFill="1" applyBorder="1" applyAlignment="1" applyProtection="1">
      <alignment horizontal="right"/>
    </xf>
    <xf numFmtId="0" fontId="42" fillId="3" borderId="0" xfId="0" applyFont="1" applyFill="1" applyBorder="1" applyProtection="1"/>
    <xf numFmtId="3" fontId="42" fillId="4" borderId="0" xfId="0" applyNumberFormat="1" applyFont="1" applyFill="1" applyBorder="1" applyProtection="1"/>
    <xf numFmtId="0" fontId="42" fillId="4" borderId="0" xfId="0" applyFont="1" applyFill="1" applyBorder="1" applyProtection="1"/>
    <xf numFmtId="3" fontId="42" fillId="4" borderId="0" xfId="0" applyNumberFormat="1" applyFont="1" applyFill="1" applyBorder="1" applyAlignment="1" applyProtection="1">
      <alignment horizontal="right"/>
    </xf>
    <xf numFmtId="3" fontId="42" fillId="4" borderId="0" xfId="2" applyNumberFormat="1" applyFont="1" applyFill="1" applyBorder="1" applyAlignment="1" applyProtection="1">
      <alignment horizontal="right"/>
    </xf>
    <xf numFmtId="0" fontId="0" fillId="4" borderId="0" xfId="0" applyFill="1" applyBorder="1" applyAlignment="1"/>
    <xf numFmtId="0" fontId="1" fillId="15" borderId="0" xfId="0" applyFont="1" applyFill="1" applyBorder="1" applyAlignment="1" applyProtection="1">
      <alignment horizontal="right" vertical="center"/>
    </xf>
    <xf numFmtId="0" fontId="46" fillId="3" borderId="0" xfId="0" applyFont="1" applyFill="1" applyBorder="1" applyAlignment="1" applyProtection="1">
      <alignment horizontal="left" vertical="center"/>
    </xf>
    <xf numFmtId="0" fontId="46" fillId="4" borderId="0" xfId="0" applyFont="1" applyFill="1" applyBorder="1" applyProtection="1"/>
    <xf numFmtId="3" fontId="3" fillId="4" borderId="0" xfId="0" applyNumberFormat="1" applyFont="1" applyFill="1" applyBorder="1" applyAlignment="1" applyProtection="1">
      <alignment horizontal="center"/>
    </xf>
    <xf numFmtId="0" fontId="42" fillId="3" borderId="0" xfId="0" applyFont="1" applyFill="1" applyBorder="1" applyAlignment="1" applyProtection="1">
      <alignment horizontal="right"/>
    </xf>
    <xf numFmtId="0" fontId="42" fillId="16" borderId="0" xfId="0" applyFont="1" applyFill="1" applyBorder="1" applyAlignment="1" applyProtection="1">
      <alignment horizontal="right" vertical="center"/>
    </xf>
    <xf numFmtId="0" fontId="42" fillId="3" borderId="0" xfId="0" quotePrefix="1" applyFont="1" applyFill="1" applyBorder="1" applyAlignment="1" applyProtection="1">
      <alignment horizontal="right" vertical="center"/>
    </xf>
    <xf numFmtId="172" fontId="42" fillId="3" borderId="0" xfId="2" applyNumberFormat="1" applyFont="1" applyFill="1" applyBorder="1" applyAlignment="1" applyProtection="1">
      <alignment horizontal="right"/>
    </xf>
    <xf numFmtId="172" fontId="42" fillId="4" borderId="0" xfId="2" applyNumberFormat="1" applyFont="1" applyFill="1" applyBorder="1" applyProtection="1"/>
    <xf numFmtId="166" fontId="46" fillId="3" borderId="0" xfId="0" applyNumberFormat="1" applyFont="1" applyFill="1" applyBorder="1" applyAlignment="1" applyProtection="1">
      <alignment horizontal="right"/>
    </xf>
    <xf numFmtId="172" fontId="46" fillId="3" borderId="0" xfId="2" applyNumberFormat="1" applyFont="1" applyFill="1" applyBorder="1" applyAlignment="1" applyProtection="1">
      <alignment horizontal="right"/>
    </xf>
    <xf numFmtId="0" fontId="47" fillId="3" borderId="0" xfId="0" applyFont="1" applyFill="1" applyBorder="1" applyAlignment="1" applyProtection="1">
      <alignment horizontal="right"/>
    </xf>
    <xf numFmtId="0" fontId="47" fillId="3" borderId="0" xfId="0" applyFont="1" applyFill="1" applyBorder="1" applyAlignment="1" applyProtection="1">
      <alignment horizontal="left"/>
    </xf>
    <xf numFmtId="0" fontId="42" fillId="4" borderId="0" xfId="0" applyNumberFormat="1" applyFont="1" applyFill="1" applyBorder="1" applyAlignment="1" applyProtection="1">
      <alignment horizontal="left"/>
    </xf>
    <xf numFmtId="0" fontId="46" fillId="3" borderId="0" xfId="0" applyFont="1" applyFill="1" applyBorder="1" applyAlignment="1" applyProtection="1">
      <alignment horizontal="right" vertical="center"/>
    </xf>
    <xf numFmtId="0" fontId="48" fillId="4" borderId="0" xfId="0" applyFont="1" applyFill="1" applyBorder="1" applyAlignment="1" applyProtection="1">
      <alignment horizontal="right"/>
    </xf>
    <xf numFmtId="0" fontId="49" fillId="4" borderId="0" xfId="0" applyFont="1" applyFill="1" applyBorder="1" applyAlignment="1" applyProtection="1">
      <alignment vertical="center"/>
    </xf>
    <xf numFmtId="0" fontId="42" fillId="4" borderId="0" xfId="0" applyFont="1" applyFill="1" applyBorder="1" applyAlignment="1" applyProtection="1">
      <alignment horizontal="center"/>
    </xf>
    <xf numFmtId="0" fontId="42" fillId="4" borderId="0" xfId="3" applyNumberFormat="1" applyFont="1" applyFill="1" applyBorder="1" applyProtection="1"/>
    <xf numFmtId="3" fontId="50" fillId="4" borderId="0" xfId="0" applyNumberFormat="1" applyFont="1" applyFill="1" applyBorder="1" applyAlignment="1" applyProtection="1">
      <alignment horizontal="center"/>
    </xf>
    <xf numFmtId="0" fontId="42" fillId="4" borderId="0" xfId="0" applyFont="1" applyFill="1" applyBorder="1" applyAlignment="1" applyProtection="1">
      <alignment horizontal="left"/>
    </xf>
    <xf numFmtId="166" fontId="42" fillId="4" borderId="0" xfId="0" applyNumberFormat="1" applyFont="1" applyFill="1" applyBorder="1" applyAlignment="1" applyProtection="1">
      <alignment horizontal="right"/>
    </xf>
    <xf numFmtId="0" fontId="46" fillId="4" borderId="0" xfId="0" applyFont="1" applyFill="1" applyBorder="1" applyAlignment="1" applyProtection="1">
      <alignment horizontal="left"/>
    </xf>
    <xf numFmtId="0" fontId="46" fillId="4" borderId="0" xfId="0" applyFont="1" applyFill="1" applyBorder="1" applyAlignment="1" applyProtection="1">
      <alignment horizontal="right"/>
    </xf>
    <xf numFmtId="0" fontId="0" fillId="4" borderId="23" xfId="0" applyFill="1" applyBorder="1" applyAlignment="1" applyProtection="1">
      <alignment horizontal="right"/>
    </xf>
    <xf numFmtId="0" fontId="1" fillId="3" borderId="24" xfId="0" applyFont="1" applyFill="1" applyBorder="1" applyAlignment="1" applyProtection="1">
      <alignment horizontal="right" vertical="center"/>
    </xf>
    <xf numFmtId="165" fontId="48" fillId="3" borderId="24" xfId="0" applyNumberFormat="1" applyFont="1" applyFill="1" applyBorder="1" applyAlignment="1" applyProtection="1">
      <alignment horizontal="right"/>
    </xf>
    <xf numFmtId="0" fontId="48" fillId="3" borderId="24" xfId="0" applyFont="1" applyFill="1" applyBorder="1" applyProtection="1"/>
    <xf numFmtId="0" fontId="7" fillId="4" borderId="23" xfId="0" applyFont="1" applyFill="1" applyBorder="1" applyProtection="1"/>
    <xf numFmtId="0" fontId="3" fillId="4" borderId="23" xfId="0" applyFont="1" applyFill="1" applyBorder="1" applyAlignment="1" applyProtection="1">
      <alignment horizontal="right"/>
    </xf>
    <xf numFmtId="3" fontId="42" fillId="4" borderId="23" xfId="0" applyNumberFormat="1" applyFont="1" applyFill="1" applyBorder="1" applyProtection="1"/>
    <xf numFmtId="3" fontId="42" fillId="3" borderId="0" xfId="0" applyNumberFormat="1" applyFont="1" applyFill="1" applyBorder="1" applyAlignment="1" applyProtection="1">
      <alignment horizontal="right"/>
    </xf>
    <xf numFmtId="0" fontId="42" fillId="7" borderId="25" xfId="0" applyFont="1" applyFill="1" applyBorder="1" applyAlignment="1" applyProtection="1">
      <alignment horizontal="right"/>
      <protection locked="0"/>
    </xf>
    <xf numFmtId="166" fontId="42" fillId="7" borderId="25" xfId="0" applyNumberFormat="1" applyFont="1" applyFill="1" applyBorder="1" applyAlignment="1" applyProtection="1">
      <alignment horizontal="right"/>
      <protection locked="0"/>
    </xf>
    <xf numFmtId="2" fontId="42" fillId="7" borderId="25" xfId="0" applyNumberFormat="1" applyFont="1" applyFill="1" applyBorder="1" applyAlignment="1" applyProtection="1">
      <alignment horizontal="right"/>
      <protection locked="0"/>
    </xf>
    <xf numFmtId="0" fontId="42" fillId="4" borderId="26" xfId="0" applyFont="1" applyFill="1" applyBorder="1" applyProtection="1"/>
    <xf numFmtId="0" fontId="42" fillId="3" borderId="23" xfId="0" applyFont="1" applyFill="1" applyBorder="1" applyAlignment="1" applyProtection="1">
      <alignment horizontal="right" vertical="center"/>
    </xf>
    <xf numFmtId="0" fontId="42" fillId="3" borderId="23" xfId="0" quotePrefix="1" applyFont="1" applyFill="1" applyBorder="1" applyAlignment="1" applyProtection="1">
      <alignment horizontal="right" vertical="center"/>
    </xf>
    <xf numFmtId="0" fontId="42" fillId="3" borderId="23" xfId="0" applyFont="1" applyFill="1" applyBorder="1" applyAlignment="1" applyProtection="1">
      <alignment horizontal="right"/>
    </xf>
    <xf numFmtId="0" fontId="42" fillId="3" borderId="23" xfId="0" applyFont="1" applyFill="1" applyBorder="1" applyProtection="1"/>
    <xf numFmtId="172" fontId="42" fillId="7" borderId="25" xfId="2" applyNumberFormat="1" applyFont="1" applyFill="1" applyBorder="1" applyAlignment="1" applyProtection="1">
      <alignment horizontal="right"/>
      <protection locked="0"/>
    </xf>
    <xf numFmtId="0" fontId="42" fillId="3" borderId="24" xfId="0" applyFont="1" applyFill="1" applyBorder="1" applyAlignment="1" applyProtection="1">
      <alignment horizontal="right" vertical="center"/>
    </xf>
    <xf numFmtId="0" fontId="42" fillId="3" borderId="24" xfId="0" applyFont="1" applyFill="1" applyBorder="1" applyProtection="1"/>
    <xf numFmtId="0" fontId="42" fillId="4" borderId="23" xfId="0" applyFont="1" applyFill="1" applyBorder="1" applyProtection="1"/>
    <xf numFmtId="0" fontId="42" fillId="2" borderId="25" xfId="3" applyNumberFormat="1" applyFont="1" applyFill="1" applyBorder="1" applyProtection="1">
      <protection locked="0"/>
    </xf>
    <xf numFmtId="0" fontId="42" fillId="4" borderId="25" xfId="0" applyNumberFormat="1" applyFont="1" applyFill="1" applyBorder="1" applyAlignment="1" applyProtection="1">
      <alignment horizontal="center"/>
    </xf>
    <xf numFmtId="0" fontId="42" fillId="4" borderId="25" xfId="0" quotePrefix="1" applyFont="1" applyFill="1" applyBorder="1" applyProtection="1"/>
    <xf numFmtId="0" fontId="42" fillId="4" borderId="25" xfId="0" applyFont="1" applyFill="1" applyBorder="1" applyAlignment="1" applyProtection="1">
      <alignment horizontal="center"/>
    </xf>
    <xf numFmtId="172" fontId="42" fillId="4" borderId="25" xfId="2" applyNumberFormat="1" applyFont="1" applyFill="1" applyBorder="1" applyAlignment="1" applyProtection="1">
      <alignment horizontal="right"/>
    </xf>
    <xf numFmtId="172" fontId="42" fillId="4" borderId="25" xfId="2" applyNumberFormat="1" applyFont="1" applyFill="1" applyBorder="1" applyAlignment="1" applyProtection="1">
      <alignment horizontal="center"/>
    </xf>
    <xf numFmtId="0" fontId="42" fillId="4" borderId="25" xfId="0" applyNumberFormat="1" applyFont="1" applyFill="1" applyBorder="1" applyAlignment="1" applyProtection="1">
      <alignment horizontal="left"/>
    </xf>
    <xf numFmtId="177" fontId="42" fillId="4" borderId="25" xfId="2" applyNumberFormat="1" applyFont="1" applyFill="1" applyBorder="1" applyAlignment="1" applyProtection="1">
      <alignment horizontal="center"/>
    </xf>
    <xf numFmtId="172" fontId="42" fillId="4" borderId="0" xfId="2" applyNumberFormat="1" applyFont="1" applyFill="1" applyBorder="1" applyAlignment="1" applyProtection="1">
      <alignment horizontal="right"/>
    </xf>
    <xf numFmtId="172" fontId="42" fillId="4" borderId="0" xfId="2" applyNumberFormat="1" applyFont="1" applyFill="1" applyBorder="1" applyAlignment="1" applyProtection="1">
      <alignment horizontal="center"/>
    </xf>
    <xf numFmtId="178" fontId="42" fillId="4" borderId="0" xfId="2" applyNumberFormat="1" applyFont="1" applyFill="1" applyBorder="1" applyAlignment="1" applyProtection="1">
      <alignment horizontal="center"/>
    </xf>
    <xf numFmtId="166" fontId="42" fillId="4" borderId="0" xfId="0" applyNumberFormat="1" applyFont="1" applyFill="1" applyBorder="1" applyAlignment="1" applyProtection="1">
      <alignment horizontal="center"/>
    </xf>
    <xf numFmtId="2" fontId="42" fillId="3" borderId="0" xfId="0" applyNumberFormat="1" applyFont="1" applyFill="1" applyBorder="1" applyAlignment="1" applyProtection="1">
      <alignment horizontal="right"/>
    </xf>
    <xf numFmtId="1" fontId="42" fillId="3" borderId="0" xfId="0" applyNumberFormat="1" applyFont="1" applyFill="1" applyBorder="1" applyAlignment="1" applyProtection="1">
      <alignment horizontal="right"/>
    </xf>
    <xf numFmtId="167" fontId="42" fillId="7" borderId="25" xfId="0" applyNumberFormat="1" applyFont="1" applyFill="1" applyBorder="1" applyAlignment="1" applyProtection="1">
      <alignment horizontal="right"/>
      <protection locked="0"/>
    </xf>
    <xf numFmtId="165" fontId="42" fillId="7" borderId="25" xfId="0" applyNumberFormat="1" applyFont="1" applyFill="1" applyBorder="1" applyAlignment="1" applyProtection="1">
      <alignment horizontal="right"/>
      <protection locked="0"/>
    </xf>
    <xf numFmtId="0" fontId="46" fillId="3" borderId="0" xfId="0" applyFont="1" applyFill="1" applyBorder="1" applyAlignment="1" applyProtection="1">
      <alignment horizontal="left"/>
    </xf>
    <xf numFmtId="0" fontId="42" fillId="3" borderId="26" xfId="0" applyFont="1" applyFill="1" applyBorder="1" applyProtection="1"/>
    <xf numFmtId="0" fontId="42" fillId="7" borderId="25" xfId="0" applyFont="1" applyFill="1" applyBorder="1" applyAlignment="1" applyProtection="1">
      <alignment horizontal="center"/>
      <protection locked="0"/>
    </xf>
    <xf numFmtId="0" fontId="42" fillId="3" borderId="0" xfId="0" applyFont="1" applyFill="1" applyBorder="1" applyAlignment="1" applyProtection="1">
      <alignment horizontal="left"/>
    </xf>
    <xf numFmtId="0" fontId="42" fillId="4" borderId="24" xfId="0" applyFont="1" applyFill="1" applyBorder="1" applyAlignment="1" applyProtection="1">
      <alignment horizontal="right"/>
    </xf>
    <xf numFmtId="0" fontId="42" fillId="4" borderId="24" xfId="0" applyFont="1" applyFill="1" applyBorder="1" applyProtection="1"/>
    <xf numFmtId="165" fontId="46" fillId="4" borderId="0" xfId="0" applyNumberFormat="1" applyFont="1" applyFill="1" applyBorder="1" applyAlignment="1" applyProtection="1">
      <alignment horizontal="right"/>
    </xf>
    <xf numFmtId="0" fontId="42" fillId="2" borderId="25" xfId="0" applyFont="1" applyFill="1" applyBorder="1" applyProtection="1">
      <protection locked="0"/>
    </xf>
    <xf numFmtId="0" fontId="0" fillId="4" borderId="24" xfId="0" applyFill="1" applyBorder="1" applyProtection="1"/>
    <xf numFmtId="0" fontId="0" fillId="4" borderId="0" xfId="0" applyFill="1" applyBorder="1" applyAlignment="1" applyProtection="1">
      <alignment horizontal="right"/>
    </xf>
    <xf numFmtId="3" fontId="0" fillId="4" borderId="0" xfId="0" applyNumberFormat="1" applyFill="1" applyBorder="1" applyProtection="1"/>
    <xf numFmtId="0" fontId="6" fillId="3" borderId="0" xfId="0" applyFont="1" applyFill="1" applyBorder="1" applyAlignment="1" applyProtection="1">
      <alignment horizontal="right"/>
    </xf>
    <xf numFmtId="0" fontId="6" fillId="3" borderId="0" xfId="0" applyFont="1" applyFill="1" applyBorder="1" applyAlignment="1" applyProtection="1">
      <alignment horizontal="left"/>
    </xf>
    <xf numFmtId="0" fontId="6" fillId="3" borderId="0" xfId="0" applyFont="1" applyFill="1" applyBorder="1" applyProtection="1"/>
    <xf numFmtId="0" fontId="46" fillId="3" borderId="24" xfId="0" applyFont="1" applyFill="1" applyBorder="1" applyAlignment="1" applyProtection="1">
      <alignment horizontal="left" vertical="center"/>
    </xf>
    <xf numFmtId="172" fontId="42" fillId="17" borderId="25" xfId="2" applyNumberFormat="1" applyFont="1" applyFill="1" applyBorder="1" applyAlignment="1" applyProtection="1">
      <alignment horizontal="right"/>
      <protection locked="0"/>
    </xf>
    <xf numFmtId="0" fontId="42" fillId="18" borderId="25" xfId="0" applyFont="1" applyFill="1" applyBorder="1" applyAlignment="1" applyProtection="1">
      <alignment vertical="center"/>
      <protection locked="0"/>
    </xf>
    <xf numFmtId="0" fontId="0" fillId="19" borderId="23" xfId="0" applyFill="1" applyBorder="1" applyProtection="1"/>
    <xf numFmtId="0" fontId="51" fillId="4" borderId="0" xfId="0" applyFont="1" applyFill="1" applyBorder="1" applyAlignment="1" applyProtection="1">
      <alignment horizontal="center"/>
    </xf>
    <xf numFmtId="0" fontId="47" fillId="3" borderId="0" xfId="0" applyFont="1" applyFill="1" applyBorder="1" applyProtection="1"/>
    <xf numFmtId="0" fontId="1" fillId="17" borderId="0" xfId="0" applyFont="1" applyFill="1" applyBorder="1" applyAlignment="1" applyProtection="1">
      <alignment horizontal="right" vertical="center"/>
    </xf>
    <xf numFmtId="3" fontId="0" fillId="4" borderId="0" xfId="0" applyNumberFormat="1" applyFill="1" applyBorder="1" applyAlignment="1" applyProtection="1">
      <alignment wrapText="1"/>
    </xf>
    <xf numFmtId="3" fontId="0" fillId="4" borderId="0" xfId="0" applyNumberFormat="1" applyFill="1" applyBorder="1" applyAlignment="1" applyProtection="1"/>
    <xf numFmtId="0" fontId="0" fillId="4" borderId="0" xfId="0" applyFill="1" applyBorder="1" applyAlignment="1" applyProtection="1">
      <alignment horizontal="left"/>
    </xf>
    <xf numFmtId="165" fontId="42" fillId="4" borderId="0" xfId="0" applyNumberFormat="1" applyFont="1" applyFill="1" applyBorder="1" applyAlignment="1" applyProtection="1">
      <alignment horizontal="left"/>
    </xf>
    <xf numFmtId="0" fontId="52" fillId="4" borderId="0" xfId="0" applyNumberFormat="1" applyFont="1" applyFill="1" applyBorder="1" applyAlignment="1" applyProtection="1">
      <alignment horizontal="left"/>
    </xf>
    <xf numFmtId="0" fontId="53" fillId="4" borderId="0" xfId="0" applyFont="1" applyFill="1" applyBorder="1" applyAlignment="1" applyProtection="1">
      <alignment vertical="center"/>
    </xf>
    <xf numFmtId="0" fontId="54" fillId="4" borderId="0" xfId="0" applyFont="1" applyFill="1" applyBorder="1" applyProtection="1"/>
    <xf numFmtId="0" fontId="0" fillId="19" borderId="0" xfId="0" applyFill="1" applyBorder="1" applyProtection="1"/>
    <xf numFmtId="165" fontId="48" fillId="3" borderId="0" xfId="0" applyNumberFormat="1" applyFont="1" applyFill="1" applyBorder="1" applyAlignment="1" applyProtection="1">
      <alignment horizontal="right"/>
    </xf>
    <xf numFmtId="0" fontId="48" fillId="3" borderId="0" xfId="0" applyFont="1" applyFill="1" applyBorder="1" applyProtection="1"/>
    <xf numFmtId="0" fontId="55" fillId="4" borderId="0" xfId="0" applyFont="1" applyFill="1" applyBorder="1" applyAlignment="1" applyProtection="1">
      <alignment horizontal="left" vertical="center"/>
    </xf>
    <xf numFmtId="0" fontId="0" fillId="19" borderId="0" xfId="0" applyFill="1" applyProtection="1"/>
    <xf numFmtId="0" fontId="56" fillId="4" borderId="0" xfId="0" applyFont="1" applyFill="1" applyBorder="1" applyAlignment="1" applyProtection="1">
      <alignment horizontal="center"/>
    </xf>
    <xf numFmtId="0" fontId="46" fillId="14" borderId="0" xfId="0" applyFont="1" applyFill="1" applyBorder="1" applyProtection="1"/>
    <xf numFmtId="0" fontId="42" fillId="14" borderId="0" xfId="0" applyFont="1" applyFill="1" applyBorder="1" applyProtection="1"/>
    <xf numFmtId="0" fontId="56" fillId="2" borderId="0" xfId="0" applyFont="1" applyFill="1" applyBorder="1" applyProtection="1"/>
    <xf numFmtId="0" fontId="42" fillId="4" borderId="27" xfId="0" applyFont="1" applyFill="1" applyBorder="1" applyAlignment="1" applyProtection="1">
      <alignment horizontal="center"/>
    </xf>
    <xf numFmtId="2" fontId="42" fillId="4" borderId="28" xfId="0" applyNumberFormat="1" applyFont="1" applyFill="1" applyBorder="1" applyAlignment="1" applyProtection="1">
      <alignment horizontal="center"/>
    </xf>
    <xf numFmtId="0" fontId="42" fillId="4" borderId="28" xfId="0" applyFont="1" applyFill="1" applyBorder="1" applyAlignment="1" applyProtection="1">
      <alignment horizontal="center"/>
    </xf>
    <xf numFmtId="3" fontId="42" fillId="4" borderId="28" xfId="0" applyNumberFormat="1" applyFont="1" applyFill="1" applyBorder="1" applyAlignment="1" applyProtection="1">
      <alignment horizontal="center"/>
    </xf>
    <xf numFmtId="0" fontId="42" fillId="4" borderId="30" xfId="0" applyFont="1" applyFill="1" applyBorder="1" applyAlignment="1" applyProtection="1">
      <alignment horizontal="center"/>
    </xf>
    <xf numFmtId="2" fontId="42" fillId="4" borderId="25" xfId="0" applyNumberFormat="1" applyFont="1" applyFill="1" applyBorder="1" applyAlignment="1" applyProtection="1">
      <alignment horizontal="center"/>
    </xf>
    <xf numFmtId="3" fontId="42" fillId="4" borderId="25" xfId="0" applyNumberFormat="1" applyFont="1" applyFill="1" applyBorder="1" applyAlignment="1" applyProtection="1">
      <alignment horizontal="center"/>
    </xf>
    <xf numFmtId="0" fontId="42" fillId="4" borderId="32" xfId="0" applyFont="1" applyFill="1" applyBorder="1" applyAlignment="1" applyProtection="1">
      <alignment horizontal="center"/>
    </xf>
    <xf numFmtId="3" fontId="42" fillId="4" borderId="33" xfId="0" applyNumberFormat="1" applyFont="1" applyFill="1" applyBorder="1" applyAlignment="1" applyProtection="1">
      <alignment horizontal="center"/>
    </xf>
    <xf numFmtId="0" fontId="46" fillId="4" borderId="35" xfId="0" applyFont="1" applyFill="1" applyBorder="1" applyAlignment="1" applyProtection="1">
      <alignment horizontal="center"/>
    </xf>
    <xf numFmtId="0" fontId="46" fillId="4" borderId="36" xfId="0" applyFont="1" applyFill="1" applyBorder="1" applyAlignment="1" applyProtection="1">
      <alignment horizontal="center"/>
    </xf>
    <xf numFmtId="3" fontId="46" fillId="4" borderId="36" xfId="0" applyNumberFormat="1" applyFont="1" applyFill="1" applyBorder="1" applyAlignment="1" applyProtection="1">
      <alignment horizontal="center"/>
    </xf>
    <xf numFmtId="3" fontId="42" fillId="2" borderId="0" xfId="0" applyNumberFormat="1" applyFont="1" applyFill="1" applyBorder="1" applyAlignment="1" applyProtection="1">
      <alignment horizontal="center"/>
    </xf>
    <xf numFmtId="0" fontId="46" fillId="2" borderId="0" xfId="0" applyFont="1" applyFill="1" applyBorder="1" applyAlignment="1" applyProtection="1">
      <alignment horizontal="right"/>
    </xf>
    <xf numFmtId="2" fontId="42" fillId="2" borderId="0" xfId="0" applyNumberFormat="1" applyFont="1" applyFill="1" applyBorder="1" applyAlignment="1" applyProtection="1">
      <alignment horizontal="center"/>
    </xf>
    <xf numFmtId="3" fontId="46" fillId="0" borderId="0" xfId="0" applyNumberFormat="1" applyFont="1" applyFill="1" applyBorder="1" applyAlignment="1" applyProtection="1">
      <alignment horizontal="center"/>
    </xf>
    <xf numFmtId="0" fontId="42" fillId="15" borderId="0" xfId="0" applyFont="1" applyFill="1" applyBorder="1" applyProtection="1"/>
    <xf numFmtId="0" fontId="56" fillId="15" borderId="0" xfId="0" applyFont="1" applyFill="1" applyBorder="1" applyProtection="1"/>
    <xf numFmtId="0" fontId="0" fillId="15" borderId="0" xfId="0" applyFill="1" applyBorder="1" applyProtection="1"/>
    <xf numFmtId="0" fontId="57" fillId="2" borderId="0" xfId="0" applyFont="1" applyFill="1" applyProtection="1">
      <protection locked="0"/>
    </xf>
    <xf numFmtId="0" fontId="42" fillId="2" borderId="0" xfId="0" applyFont="1" applyFill="1" applyProtection="1"/>
    <xf numFmtId="0" fontId="42" fillId="2" borderId="0" xfId="0" applyFont="1" applyFill="1" applyAlignment="1" applyProtection="1">
      <alignment horizontal="left"/>
    </xf>
    <xf numFmtId="0" fontId="58" fillId="2" borderId="0" xfId="0" applyFont="1" applyFill="1" applyProtection="1"/>
    <xf numFmtId="0" fontId="59" fillId="4" borderId="0" xfId="1" applyFont="1" applyFill="1" applyBorder="1" applyAlignment="1" applyProtection="1"/>
    <xf numFmtId="0" fontId="42" fillId="4" borderId="25" xfId="0" quotePrefix="1" applyFont="1" applyFill="1" applyBorder="1" applyAlignment="1" applyProtection="1">
      <alignment horizontal="center"/>
    </xf>
    <xf numFmtId="0" fontId="46" fillId="4" borderId="26" xfId="0" applyFont="1" applyFill="1" applyBorder="1" applyAlignment="1" applyProtection="1">
      <alignment horizontal="left"/>
    </xf>
    <xf numFmtId="0" fontId="50" fillId="4" borderId="0" xfId="0" applyFont="1" applyFill="1" applyBorder="1" applyAlignment="1" applyProtection="1">
      <alignment horizontal="left"/>
    </xf>
    <xf numFmtId="0" fontId="42" fillId="4" borderId="25" xfId="0" quotePrefix="1" applyNumberFormat="1" applyFont="1" applyFill="1" applyBorder="1" applyAlignment="1" applyProtection="1">
      <alignment horizontal="center"/>
    </xf>
    <xf numFmtId="177" fontId="42" fillId="4" borderId="25" xfId="0" applyNumberFormat="1" applyFont="1" applyFill="1" applyBorder="1" applyAlignment="1" applyProtection="1">
      <alignment horizontal="center"/>
    </xf>
    <xf numFmtId="16" fontId="46" fillId="4" borderId="26" xfId="0" applyNumberFormat="1" applyFont="1" applyFill="1" applyBorder="1" applyProtection="1"/>
    <xf numFmtId="179" fontId="42" fillId="4" borderId="25" xfId="2" quotePrefix="1" applyNumberFormat="1" applyFont="1" applyFill="1" applyBorder="1" applyAlignment="1" applyProtection="1">
      <alignment horizontal="center"/>
    </xf>
    <xf numFmtId="0" fontId="46" fillId="4" borderId="26" xfId="0" applyFont="1" applyFill="1" applyBorder="1" applyProtection="1"/>
    <xf numFmtId="0" fontId="42" fillId="4" borderId="0" xfId="0" applyNumberFormat="1" applyFont="1" applyFill="1" applyBorder="1" applyAlignment="1" applyProtection="1">
      <alignment horizontal="center"/>
    </xf>
    <xf numFmtId="176" fontId="42" fillId="4" borderId="0" xfId="2" applyNumberFormat="1" applyFont="1" applyFill="1" applyBorder="1" applyAlignment="1" applyProtection="1">
      <alignment horizontal="center"/>
    </xf>
    <xf numFmtId="179" fontId="42" fillId="4" borderId="0" xfId="2" quotePrefix="1" applyNumberFormat="1" applyFont="1" applyFill="1" applyBorder="1" applyAlignment="1" applyProtection="1">
      <alignment horizontal="center"/>
    </xf>
    <xf numFmtId="0" fontId="46" fillId="4" borderId="0" xfId="0" applyNumberFormat="1" applyFont="1" applyFill="1" applyBorder="1" applyAlignment="1" applyProtection="1">
      <alignment horizontal="left"/>
    </xf>
    <xf numFmtId="0" fontId="42" fillId="2" borderId="0" xfId="0" applyFont="1" applyFill="1" applyBorder="1" applyAlignment="1" applyProtection="1">
      <alignment horizontal="center"/>
    </xf>
    <xf numFmtId="0" fontId="46" fillId="2" borderId="0" xfId="0" applyFont="1" applyFill="1" applyBorder="1" applyAlignment="1" applyProtection="1">
      <alignment horizontal="left"/>
    </xf>
    <xf numFmtId="0" fontId="59" fillId="4" borderId="0" xfId="1" applyFont="1" applyFill="1" applyBorder="1" applyAlignment="1" applyProtection="1">
      <protection locked="0"/>
    </xf>
    <xf numFmtId="0" fontId="42" fillId="4" borderId="0" xfId="0" applyFont="1" applyFill="1" applyBorder="1"/>
    <xf numFmtId="0" fontId="10" fillId="4" borderId="0" xfId="0" applyFont="1" applyFill="1" applyBorder="1" applyProtection="1"/>
    <xf numFmtId="0" fontId="42" fillId="4" borderId="25" xfId="0" applyNumberFormat="1" applyFont="1" applyFill="1" applyBorder="1" applyAlignment="1" applyProtection="1">
      <alignment horizontal="center"/>
    </xf>
    <xf numFmtId="9" fontId="42" fillId="15" borderId="38" xfId="3" applyFont="1" applyFill="1" applyBorder="1" applyAlignment="1" applyProtection="1">
      <alignment horizontal="right"/>
      <protection locked="0"/>
    </xf>
    <xf numFmtId="0" fontId="61" fillId="14" borderId="0" xfId="0" applyNumberFormat="1" applyFont="1" applyFill="1" applyBorder="1" applyAlignment="1" applyProtection="1">
      <alignment horizontal="left"/>
    </xf>
    <xf numFmtId="3" fontId="0" fillId="14" borderId="0" xfId="0" applyNumberFormat="1" applyFill="1" applyProtection="1"/>
    <xf numFmtId="0" fontId="0" fillId="14" borderId="0" xfId="0" applyFill="1" applyProtection="1"/>
    <xf numFmtId="0" fontId="28" fillId="15" borderId="0" xfId="0" applyFont="1" applyFill="1" applyBorder="1" applyAlignment="1" applyProtection="1">
      <alignment horizontal="center"/>
    </xf>
    <xf numFmtId="0" fontId="42" fillId="3" borderId="25" xfId="0" applyFont="1" applyFill="1" applyBorder="1" applyAlignment="1" applyProtection="1">
      <alignment horizontal="center" vertical="center"/>
    </xf>
    <xf numFmtId="10" fontId="60" fillId="15" borderId="25" xfId="0" applyNumberFormat="1" applyFont="1" applyFill="1" applyBorder="1" applyAlignment="1" applyProtection="1">
      <alignment horizontal="right"/>
      <protection locked="0"/>
    </xf>
    <xf numFmtId="180" fontId="60" fillId="15" borderId="25" xfId="0" applyNumberFormat="1" applyFont="1" applyFill="1" applyBorder="1" applyAlignment="1" applyProtection="1">
      <alignment horizontal="right"/>
      <protection locked="0"/>
    </xf>
    <xf numFmtId="3" fontId="62" fillId="4" borderId="0" xfId="0" applyNumberFormat="1" applyFont="1" applyFill="1" applyBorder="1" applyAlignment="1" applyProtection="1">
      <alignment horizontal="left"/>
    </xf>
    <xf numFmtId="0" fontId="40" fillId="2" borderId="0" xfId="0" applyFont="1" applyFill="1" applyProtection="1"/>
    <xf numFmtId="1" fontId="0" fillId="14" borderId="0" xfId="0" applyNumberFormat="1" applyFill="1" applyBorder="1" applyAlignment="1" applyProtection="1">
      <alignment horizontal="center"/>
    </xf>
    <xf numFmtId="0" fontId="0" fillId="14" borderId="0" xfId="0" applyFill="1" applyBorder="1" applyAlignment="1" applyProtection="1">
      <alignment horizontal="justify"/>
    </xf>
    <xf numFmtId="0" fontId="10" fillId="14" borderId="0" xfId="0" applyFont="1" applyFill="1" applyBorder="1" applyProtection="1"/>
    <xf numFmtId="0" fontId="0" fillId="14" borderId="0" xfId="0" applyFill="1" applyBorder="1" applyAlignment="1" applyProtection="1">
      <alignment horizontal="right"/>
    </xf>
    <xf numFmtId="0" fontId="0" fillId="14" borderId="0" xfId="0" applyNumberFormat="1" applyFill="1" applyBorder="1" applyProtection="1"/>
    <xf numFmtId="0" fontId="42" fillId="14" borderId="26" xfId="0" applyFont="1" applyFill="1" applyBorder="1" applyProtection="1"/>
    <xf numFmtId="0" fontId="46" fillId="14" borderId="28" xfId="0" applyNumberFormat="1" applyFont="1" applyFill="1" applyBorder="1" applyAlignment="1" applyProtection="1">
      <alignment horizontal="center"/>
    </xf>
    <xf numFmtId="0" fontId="42" fillId="14" borderId="27" xfId="0" applyFont="1" applyFill="1" applyBorder="1" applyProtection="1"/>
    <xf numFmtId="0" fontId="42" fillId="14" borderId="25" xfId="0" applyNumberFormat="1" applyFont="1" applyFill="1" applyBorder="1" applyAlignment="1" applyProtection="1">
      <alignment horizontal="center"/>
    </xf>
    <xf numFmtId="0" fontId="42" fillId="8" borderId="25" xfId="0" applyFont="1" applyFill="1" applyBorder="1" applyAlignment="1" applyProtection="1">
      <alignment horizontal="center"/>
    </xf>
    <xf numFmtId="0" fontId="42" fillId="9" borderId="25" xfId="0" applyFont="1" applyFill="1" applyBorder="1" applyAlignment="1" applyProtection="1">
      <alignment horizontal="center"/>
    </xf>
    <xf numFmtId="0" fontId="42" fillId="10" borderId="25" xfId="0" applyFont="1" applyFill="1" applyBorder="1" applyAlignment="1" applyProtection="1">
      <alignment horizontal="center"/>
    </xf>
    <xf numFmtId="0" fontId="42" fillId="11" borderId="25" xfId="0" applyFont="1" applyFill="1" applyBorder="1" applyAlignment="1" applyProtection="1">
      <alignment horizontal="center"/>
    </xf>
    <xf numFmtId="0" fontId="42" fillId="12" borderId="25" xfId="0" applyFont="1" applyFill="1" applyBorder="1" applyAlignment="1" applyProtection="1">
      <alignment horizontal="center"/>
    </xf>
    <xf numFmtId="9" fontId="42" fillId="14" borderId="0" xfId="0" applyNumberFormat="1" applyFont="1" applyFill="1" applyBorder="1" applyAlignment="1" applyProtection="1">
      <alignment horizontal="center"/>
    </xf>
    <xf numFmtId="0" fontId="61" fillId="14" borderId="0" xfId="0" applyFont="1" applyFill="1" applyBorder="1" applyProtection="1"/>
    <xf numFmtId="1" fontId="42" fillId="8" borderId="25" xfId="0" applyNumberFormat="1" applyFont="1" applyFill="1" applyBorder="1" applyAlignment="1" applyProtection="1">
      <alignment horizontal="center"/>
    </xf>
    <xf numFmtId="1" fontId="42" fillId="9" borderId="25" xfId="0" applyNumberFormat="1" applyFont="1" applyFill="1" applyBorder="1" applyAlignment="1" applyProtection="1">
      <alignment horizontal="center"/>
    </xf>
    <xf numFmtId="1" fontId="42" fillId="10" borderId="25" xfId="0" applyNumberFormat="1" applyFont="1" applyFill="1" applyBorder="1" applyAlignment="1" applyProtection="1">
      <alignment horizontal="center"/>
    </xf>
    <xf numFmtId="1" fontId="42" fillId="11" borderId="25" xfId="0" applyNumberFormat="1" applyFont="1" applyFill="1" applyBorder="1" applyAlignment="1" applyProtection="1">
      <alignment horizontal="center"/>
    </xf>
    <xf numFmtId="1" fontId="42" fillId="12" borderId="25" xfId="0" applyNumberFormat="1" applyFont="1" applyFill="1" applyBorder="1" applyAlignment="1" applyProtection="1">
      <alignment horizontal="center"/>
    </xf>
    <xf numFmtId="9" fontId="42" fillId="4" borderId="0" xfId="3" applyFont="1" applyFill="1" applyBorder="1" applyAlignment="1" applyProtection="1">
      <alignment horizontal="right"/>
    </xf>
    <xf numFmtId="0" fontId="39" fillId="15" borderId="0" xfId="0" applyFont="1" applyFill="1" applyAlignment="1" applyProtection="1">
      <alignment horizontal="right"/>
    </xf>
    <xf numFmtId="9" fontId="39" fillId="15" borderId="0" xfId="0" applyNumberFormat="1" applyFont="1" applyFill="1" applyProtection="1"/>
    <xf numFmtId="166" fontId="39" fillId="15" borderId="0" xfId="0" applyNumberFormat="1" applyFont="1" applyFill="1" applyProtection="1"/>
    <xf numFmtId="167" fontId="46" fillId="4" borderId="0" xfId="0" applyNumberFormat="1" applyFont="1" applyFill="1" applyBorder="1" applyProtection="1"/>
    <xf numFmtId="0" fontId="42" fillId="2" borderId="0" xfId="0" applyFont="1" applyFill="1" applyBorder="1" applyAlignment="1" applyProtection="1">
      <alignment horizontal="right"/>
    </xf>
    <xf numFmtId="10" fontId="42" fillId="2" borderId="0" xfId="3" applyNumberFormat="1" applyFont="1" applyFill="1" applyBorder="1" applyAlignment="1" applyProtection="1">
      <alignment horizontal="center"/>
    </xf>
    <xf numFmtId="0" fontId="44" fillId="2" borderId="0" xfId="0" applyFont="1" applyFill="1" applyBorder="1" applyProtection="1"/>
    <xf numFmtId="165" fontId="49" fillId="4" borderId="0" xfId="3" applyNumberFormat="1" applyFont="1" applyFill="1" applyBorder="1" applyAlignment="1" applyProtection="1">
      <alignment horizontal="left"/>
    </xf>
    <xf numFmtId="170" fontId="0" fillId="2" borderId="0" xfId="3" applyNumberFormat="1" applyFont="1" applyFill="1" applyProtection="1"/>
    <xf numFmtId="0" fontId="63" fillId="20" borderId="0" xfId="0" applyFont="1" applyFill="1" applyBorder="1" applyAlignment="1" applyProtection="1">
      <alignment vertical="center"/>
    </xf>
    <xf numFmtId="0" fontId="64" fillId="20" borderId="0" xfId="0" applyFont="1" applyFill="1" applyBorder="1" applyAlignment="1" applyProtection="1">
      <alignment vertical="center"/>
    </xf>
    <xf numFmtId="0" fontId="65" fillId="20" borderId="0" xfId="0" applyFont="1" applyFill="1" applyBorder="1" applyProtection="1"/>
    <xf numFmtId="0" fontId="38" fillId="20" borderId="0" xfId="0" applyFont="1" applyFill="1" applyBorder="1" applyAlignment="1" applyProtection="1">
      <alignment vertical="center"/>
    </xf>
    <xf numFmtId="0" fontId="42" fillId="14" borderId="0" xfId="0" applyFont="1" applyFill="1" applyBorder="1" applyAlignment="1" applyProtection="1">
      <alignment horizontal="left"/>
    </xf>
    <xf numFmtId="0" fontId="0" fillId="15" borderId="0" xfId="0" applyFill="1" applyBorder="1" applyAlignment="1" applyProtection="1">
      <alignment horizontal="center"/>
    </xf>
    <xf numFmtId="1" fontId="40" fillId="15" borderId="0" xfId="0" applyNumberFormat="1" applyFont="1" applyFill="1" applyBorder="1" applyAlignment="1" applyProtection="1">
      <alignment horizontal="center"/>
    </xf>
    <xf numFmtId="0" fontId="40" fillId="15" borderId="0" xfId="0" applyNumberFormat="1" applyFont="1" applyFill="1" applyBorder="1" applyProtection="1"/>
    <xf numFmtId="0" fontId="46" fillId="14" borderId="39" xfId="0" applyFont="1" applyFill="1" applyBorder="1" applyAlignment="1" applyProtection="1">
      <alignment horizontal="center"/>
    </xf>
    <xf numFmtId="0" fontId="46" fillId="14" borderId="40" xfId="0" applyFont="1" applyFill="1" applyBorder="1" applyAlignment="1" applyProtection="1">
      <alignment horizontal="center"/>
    </xf>
    <xf numFmtId="0" fontId="66" fillId="21" borderId="41" xfId="0" applyFont="1" applyFill="1" applyBorder="1" applyAlignment="1" applyProtection="1">
      <alignment vertical="center"/>
    </xf>
    <xf numFmtId="0" fontId="65" fillId="20" borderId="42" xfId="0" applyFont="1" applyFill="1" applyBorder="1" applyAlignment="1" applyProtection="1">
      <alignment vertical="center"/>
    </xf>
    <xf numFmtId="0" fontId="63" fillId="21" borderId="42" xfId="0" applyFont="1" applyFill="1" applyBorder="1" applyAlignment="1" applyProtection="1">
      <alignment horizontal="center" vertical="center"/>
    </xf>
    <xf numFmtId="0" fontId="63" fillId="21" borderId="43" xfId="0" applyFont="1" applyFill="1" applyBorder="1" applyAlignment="1" applyProtection="1">
      <alignment horizontal="right" vertical="center"/>
    </xf>
    <xf numFmtId="0" fontId="42" fillId="14" borderId="44" xfId="0" applyFont="1" applyFill="1" applyBorder="1" applyProtection="1"/>
    <xf numFmtId="0" fontId="46" fillId="14" borderId="45" xfId="0" applyNumberFormat="1" applyFont="1" applyFill="1" applyBorder="1" applyAlignment="1" applyProtection="1">
      <alignment horizontal="center"/>
    </xf>
    <xf numFmtId="0" fontId="42" fillId="14" borderId="46" xfId="0" applyNumberFormat="1" applyFont="1" applyFill="1" applyBorder="1" applyAlignment="1" applyProtection="1">
      <alignment horizontal="center"/>
    </xf>
    <xf numFmtId="0" fontId="42" fillId="8" borderId="46" xfId="0" applyFont="1" applyFill="1" applyBorder="1" applyAlignment="1" applyProtection="1">
      <alignment horizontal="center"/>
    </xf>
    <xf numFmtId="0" fontId="42" fillId="11" borderId="46" xfId="0" applyFont="1" applyFill="1" applyBorder="1" applyAlignment="1" applyProtection="1">
      <alignment horizontal="center"/>
    </xf>
    <xf numFmtId="0" fontId="42" fillId="12" borderId="46" xfId="0" applyFont="1" applyFill="1" applyBorder="1" applyAlignment="1" applyProtection="1">
      <alignment horizontal="center"/>
    </xf>
    <xf numFmtId="0" fontId="42" fillId="13" borderId="47" xfId="0" applyFont="1" applyFill="1" applyBorder="1" applyAlignment="1" applyProtection="1">
      <alignment horizontal="center"/>
    </xf>
    <xf numFmtId="0" fontId="42" fillId="12" borderId="47" xfId="0" applyFont="1" applyFill="1" applyBorder="1" applyAlignment="1" applyProtection="1">
      <alignment horizontal="center"/>
    </xf>
    <xf numFmtId="0" fontId="42" fillId="13" borderId="48" xfId="0" applyFont="1" applyFill="1" applyBorder="1" applyAlignment="1" applyProtection="1">
      <alignment horizontal="center"/>
    </xf>
    <xf numFmtId="1" fontId="42" fillId="8" borderId="46" xfId="0" applyNumberFormat="1" applyFont="1" applyFill="1" applyBorder="1" applyAlignment="1" applyProtection="1">
      <alignment horizontal="center"/>
    </xf>
    <xf numFmtId="1" fontId="42" fillId="11" borderId="46" xfId="0" applyNumberFormat="1" applyFont="1" applyFill="1" applyBorder="1" applyAlignment="1" applyProtection="1">
      <alignment horizontal="center"/>
    </xf>
    <xf numFmtId="1" fontId="42" fillId="12" borderId="46" xfId="0" applyNumberFormat="1" applyFont="1" applyFill="1" applyBorder="1" applyAlignment="1" applyProtection="1">
      <alignment horizontal="center"/>
    </xf>
    <xf numFmtId="1" fontId="42" fillId="13" borderId="47" xfId="0" applyNumberFormat="1" applyFont="1" applyFill="1" applyBorder="1" applyAlignment="1" applyProtection="1">
      <alignment horizontal="center"/>
    </xf>
    <xf numFmtId="1" fontId="42" fillId="12" borderId="47" xfId="0" applyNumberFormat="1" applyFont="1" applyFill="1" applyBorder="1" applyAlignment="1" applyProtection="1">
      <alignment horizontal="center"/>
    </xf>
    <xf numFmtId="1" fontId="42" fillId="13" borderId="48" xfId="0" applyNumberFormat="1" applyFont="1" applyFill="1" applyBorder="1" applyAlignment="1" applyProtection="1">
      <alignment horizontal="center"/>
    </xf>
    <xf numFmtId="0" fontId="0" fillId="15" borderId="0" xfId="0" applyNumberFormat="1" applyFill="1" applyBorder="1" applyAlignment="1" applyProtection="1">
      <alignment horizontal="center"/>
    </xf>
    <xf numFmtId="0" fontId="42" fillId="14" borderId="49" xfId="0" applyFont="1" applyFill="1" applyBorder="1" applyProtection="1"/>
    <xf numFmtId="0" fontId="0" fillId="14" borderId="50" xfId="0" applyFill="1" applyBorder="1" applyProtection="1"/>
    <xf numFmtId="0" fontId="0" fillId="14" borderId="51" xfId="0" applyFill="1" applyBorder="1" applyProtection="1"/>
    <xf numFmtId="0" fontId="3" fillId="14" borderId="51" xfId="0" applyNumberFormat="1" applyFont="1" applyFill="1" applyBorder="1" applyAlignment="1" applyProtection="1">
      <alignment horizontal="center"/>
    </xf>
    <xf numFmtId="0" fontId="3" fillId="14" borderId="52" xfId="0" applyNumberFormat="1" applyFont="1" applyFill="1" applyBorder="1" applyAlignment="1" applyProtection="1">
      <alignment horizontal="center"/>
    </xf>
    <xf numFmtId="0" fontId="0" fillId="15" borderId="51" xfId="0" applyFill="1" applyBorder="1" applyProtection="1"/>
    <xf numFmtId="0" fontId="3" fillId="15" borderId="51" xfId="0" applyNumberFormat="1" applyFont="1" applyFill="1" applyBorder="1" applyAlignment="1" applyProtection="1">
      <alignment horizontal="center"/>
    </xf>
    <xf numFmtId="0" fontId="42" fillId="14" borderId="50" xfId="0" applyFont="1" applyFill="1" applyBorder="1" applyProtection="1"/>
    <xf numFmtId="0" fontId="42" fillId="14" borderId="51" xfId="0" applyFont="1" applyFill="1" applyBorder="1" applyProtection="1"/>
    <xf numFmtId="0" fontId="42" fillId="14" borderId="52" xfId="0" applyFont="1" applyFill="1" applyBorder="1" applyProtection="1"/>
    <xf numFmtId="0" fontId="42" fillId="15" borderId="42" xfId="0" applyFont="1" applyFill="1" applyBorder="1" applyProtection="1"/>
    <xf numFmtId="0" fontId="46" fillId="15" borderId="42" xfId="0" applyFont="1" applyFill="1" applyBorder="1" applyProtection="1"/>
    <xf numFmtId="9" fontId="42" fillId="15" borderId="42" xfId="0" applyNumberFormat="1" applyFont="1" applyFill="1" applyBorder="1" applyAlignment="1" applyProtection="1">
      <alignment horizontal="center"/>
    </xf>
    <xf numFmtId="0" fontId="61" fillId="15" borderId="42" xfId="0" applyFont="1" applyFill="1" applyBorder="1" applyProtection="1"/>
    <xf numFmtId="0" fontId="42" fillId="14" borderId="41" xfId="0" applyFont="1" applyFill="1" applyBorder="1" applyProtection="1"/>
    <xf numFmtId="0" fontId="42" fillId="14" borderId="42" xfId="0" applyFont="1" applyFill="1" applyBorder="1" applyProtection="1"/>
    <xf numFmtId="0" fontId="42" fillId="14" borderId="43" xfId="0" applyFont="1" applyFill="1" applyBorder="1" applyProtection="1"/>
    <xf numFmtId="0" fontId="3" fillId="14" borderId="44" xfId="0" applyFont="1" applyFill="1" applyBorder="1" applyAlignment="1" applyProtection="1">
      <alignment horizontal="left"/>
    </xf>
    <xf numFmtId="1" fontId="0" fillId="14" borderId="49" xfId="0" applyNumberFormat="1" applyFill="1" applyBorder="1" applyAlignment="1" applyProtection="1">
      <alignment horizontal="center"/>
    </xf>
    <xf numFmtId="0" fontId="0" fillId="14" borderId="44" xfId="0" applyFill="1" applyBorder="1" applyProtection="1"/>
    <xf numFmtId="0" fontId="0" fillId="14" borderId="49" xfId="0" applyFill="1" applyBorder="1" applyProtection="1"/>
    <xf numFmtId="0" fontId="0" fillId="14" borderId="51" xfId="0" applyFill="1" applyBorder="1" applyAlignment="1" applyProtection="1">
      <alignment horizontal="right"/>
    </xf>
    <xf numFmtId="1" fontId="67" fillId="14" borderId="51" xfId="0" applyNumberFormat="1" applyFont="1" applyFill="1" applyBorder="1" applyAlignment="1" applyProtection="1">
      <alignment horizontal="center"/>
    </xf>
    <xf numFmtId="0" fontId="67" fillId="14" borderId="51" xfId="0" applyFont="1" applyFill="1" applyBorder="1" applyProtection="1"/>
    <xf numFmtId="0" fontId="0" fillId="14" borderId="52" xfId="0" applyFill="1" applyBorder="1" applyProtection="1"/>
    <xf numFmtId="0" fontId="68" fillId="15" borderId="0" xfId="0" applyFont="1" applyFill="1" applyBorder="1" applyAlignment="1" applyProtection="1">
      <alignment horizontal="center"/>
    </xf>
    <xf numFmtId="2" fontId="68" fillId="15" borderId="0" xfId="0" applyNumberFormat="1" applyFont="1" applyFill="1" applyBorder="1" applyAlignment="1" applyProtection="1">
      <alignment horizontal="left"/>
    </xf>
    <xf numFmtId="0" fontId="68" fillId="15" borderId="0" xfId="0" applyFont="1" applyFill="1" applyBorder="1" applyProtection="1"/>
    <xf numFmtId="0" fontId="68" fillId="15" borderId="0" xfId="0" applyFont="1" applyFill="1" applyBorder="1" applyAlignment="1" applyProtection="1">
      <alignment horizontal="right"/>
    </xf>
    <xf numFmtId="0" fontId="69" fillId="15" borderId="0" xfId="0" applyFont="1" applyFill="1" applyBorder="1" applyProtection="1"/>
    <xf numFmtId="3" fontId="69" fillId="15" borderId="0" xfId="0" applyNumberFormat="1" applyFont="1" applyFill="1" applyBorder="1" applyProtection="1"/>
    <xf numFmtId="3" fontId="68" fillId="15" borderId="0" xfId="0" applyNumberFormat="1" applyFont="1" applyFill="1" applyBorder="1" applyAlignment="1" applyProtection="1">
      <alignment horizontal="center"/>
    </xf>
    <xf numFmtId="2" fontId="68" fillId="15" borderId="0" xfId="0" applyNumberFormat="1" applyFont="1" applyFill="1" applyBorder="1" applyAlignment="1" applyProtection="1">
      <alignment horizontal="center"/>
    </xf>
    <xf numFmtId="0" fontId="44" fillId="15" borderId="0" xfId="0" applyFont="1" applyFill="1" applyBorder="1" applyProtection="1"/>
    <xf numFmtId="0" fontId="71" fillId="15" borderId="0" xfId="0" applyFont="1" applyFill="1" applyBorder="1" applyAlignment="1" applyProtection="1">
      <alignment horizontal="right"/>
    </xf>
    <xf numFmtId="0" fontId="69" fillId="21" borderId="53" xfId="0" applyFont="1" applyFill="1" applyBorder="1" applyAlignment="1" applyProtection="1">
      <alignment horizontal="center"/>
    </xf>
    <xf numFmtId="0" fontId="69" fillId="21" borderId="54" xfId="0" applyFont="1" applyFill="1" applyBorder="1" applyAlignment="1" applyProtection="1">
      <alignment horizontal="center"/>
    </xf>
    <xf numFmtId="3" fontId="69" fillId="21" borderId="54" xfId="0" applyNumberFormat="1" applyFont="1" applyFill="1" applyBorder="1" applyAlignment="1" applyProtection="1">
      <alignment horizontal="center"/>
    </xf>
    <xf numFmtId="0" fontId="69" fillId="21" borderId="56" xfId="0" applyFont="1" applyFill="1" applyBorder="1" applyAlignment="1" applyProtection="1">
      <alignment horizontal="center"/>
    </xf>
    <xf numFmtId="3" fontId="69" fillId="21" borderId="57" xfId="0" applyNumberFormat="1" applyFont="1" applyFill="1" applyBorder="1" applyAlignment="1" applyProtection="1">
      <alignment horizontal="center"/>
    </xf>
    <xf numFmtId="0" fontId="69" fillId="21" borderId="57" xfId="0" applyFont="1" applyFill="1" applyBorder="1" applyAlignment="1" applyProtection="1">
      <alignment horizontal="center"/>
    </xf>
    <xf numFmtId="0" fontId="39" fillId="15" borderId="0" xfId="0" applyFont="1" applyFill="1" applyAlignment="1" applyProtection="1">
      <alignment horizontal="center"/>
    </xf>
    <xf numFmtId="0" fontId="72" fillId="4" borderId="0" xfId="0" applyFont="1" applyFill="1" applyBorder="1" applyProtection="1"/>
    <xf numFmtId="0" fontId="5" fillId="14" borderId="0" xfId="0" applyFont="1" applyFill="1" applyProtection="1"/>
    <xf numFmtId="0" fontId="5" fillId="14" borderId="0" xfId="0" applyFont="1" applyFill="1" applyAlignment="1" applyProtection="1">
      <alignment horizontal="left"/>
    </xf>
    <xf numFmtId="0" fontId="72" fillId="4" borderId="0" xfId="0" applyFont="1" applyFill="1" applyBorder="1" applyAlignment="1" applyProtection="1">
      <alignment horizontal="left"/>
    </xf>
    <xf numFmtId="0" fontId="60" fillId="14" borderId="0" xfId="0" applyFont="1" applyFill="1" applyBorder="1" applyProtection="1"/>
    <xf numFmtId="0" fontId="38" fillId="2" borderId="0" xfId="0" applyFont="1" applyFill="1" applyProtection="1"/>
    <xf numFmtId="0" fontId="69" fillId="2" borderId="0" xfId="0" applyFont="1" applyFill="1" applyProtection="1"/>
    <xf numFmtId="3" fontId="69" fillId="2" borderId="0" xfId="0" applyNumberFormat="1" applyFont="1" applyFill="1" applyProtection="1"/>
    <xf numFmtId="0" fontId="49" fillId="17" borderId="25" xfId="0" applyFont="1" applyFill="1" applyBorder="1" applyAlignment="1" applyProtection="1">
      <alignment horizontal="center" vertical="center"/>
      <protection locked="0"/>
    </xf>
    <xf numFmtId="0" fontId="49" fillId="4" borderId="0" xfId="0" applyFont="1" applyFill="1" applyBorder="1" applyAlignment="1" applyProtection="1">
      <alignment wrapText="1"/>
    </xf>
    <xf numFmtId="0" fontId="49" fillId="4" borderId="0" xfId="0" applyFont="1" applyFill="1" applyBorder="1" applyAlignment="1" applyProtection="1"/>
    <xf numFmtId="3" fontId="39" fillId="2" borderId="0" xfId="0" applyNumberFormat="1" applyFont="1" applyFill="1" applyBorder="1" applyProtection="1"/>
    <xf numFmtId="0" fontId="84" fillId="2" borderId="0" xfId="0" applyFont="1" applyFill="1" applyProtection="1"/>
    <xf numFmtId="0" fontId="85" fillId="2" borderId="0" xfId="0" applyFont="1" applyFill="1" applyProtection="1"/>
    <xf numFmtId="0" fontId="9" fillId="2" borderId="0" xfId="1" applyFill="1" applyAlignment="1" applyProtection="1">
      <protection locked="0"/>
    </xf>
    <xf numFmtId="168" fontId="40" fillId="15" borderId="0" xfId="0" applyNumberFormat="1" applyFont="1" applyFill="1" applyBorder="1" applyProtection="1"/>
    <xf numFmtId="0" fontId="42" fillId="4" borderId="25" xfId="0" applyNumberFormat="1" applyFont="1" applyFill="1" applyBorder="1" applyAlignment="1" applyProtection="1">
      <alignment horizontal="center"/>
    </xf>
    <xf numFmtId="0" fontId="42" fillId="4" borderId="25" xfId="0" applyNumberFormat="1" applyFont="1" applyFill="1" applyBorder="1" applyAlignment="1" applyProtection="1">
      <alignment horizontal="center"/>
    </xf>
    <xf numFmtId="4" fontId="42" fillId="17" borderId="25" xfId="2" applyNumberFormat="1" applyFont="1" applyFill="1" applyBorder="1" applyAlignment="1" applyProtection="1">
      <alignment horizontal="right"/>
      <protection locked="0"/>
    </xf>
    <xf numFmtId="0" fontId="39" fillId="15" borderId="0" xfId="0" applyFont="1" applyFill="1" applyBorder="1" applyAlignment="1" applyProtection="1">
      <alignment horizontal="center"/>
    </xf>
    <xf numFmtId="0" fontId="86" fillId="15" borderId="0" xfId="0" applyFont="1" applyFill="1" applyBorder="1" applyAlignment="1" applyProtection="1">
      <alignment horizontal="right"/>
    </xf>
    <xf numFmtId="0" fontId="61" fillId="3" borderId="0" xfId="0" applyFont="1" applyFill="1" applyBorder="1" applyAlignment="1" applyProtection="1">
      <alignment horizontal="center" vertical="center"/>
    </xf>
    <xf numFmtId="172" fontId="42" fillId="4" borderId="30" xfId="2" applyNumberFormat="1" applyFont="1" applyFill="1" applyBorder="1" applyAlignment="1" applyProtection="1">
      <alignment horizontal="right"/>
    </xf>
    <xf numFmtId="0" fontId="61" fillId="4" borderId="25" xfId="0" applyFont="1" applyFill="1" applyBorder="1" applyAlignment="1" applyProtection="1">
      <alignment horizontal="center"/>
    </xf>
    <xf numFmtId="177" fontId="61" fillId="4" borderId="25" xfId="2" applyNumberFormat="1" applyFont="1" applyFill="1" applyBorder="1" applyAlignment="1" applyProtection="1">
      <alignment horizontal="center"/>
    </xf>
    <xf numFmtId="0" fontId="82" fillId="22" borderId="26" xfId="0" applyFont="1" applyFill="1" applyBorder="1" applyAlignment="1" applyProtection="1">
      <alignment horizontal="center" vertical="center"/>
    </xf>
    <xf numFmtId="172" fontId="82" fillId="4" borderId="0" xfId="2" applyNumberFormat="1" applyFont="1" applyFill="1" applyBorder="1" applyAlignment="1" applyProtection="1">
      <alignment horizontal="left"/>
    </xf>
    <xf numFmtId="0" fontId="44" fillId="15" borderId="0" xfId="0" applyFont="1" applyFill="1" applyBorder="1" applyAlignment="1" applyProtection="1">
      <alignment horizontal="right"/>
    </xf>
    <xf numFmtId="0" fontId="69" fillId="15" borderId="0" xfId="0" applyFont="1" applyFill="1" applyBorder="1" applyAlignment="1" applyProtection="1">
      <alignment horizontal="center"/>
    </xf>
    <xf numFmtId="3" fontId="69" fillId="15" borderId="0" xfId="0" applyNumberFormat="1" applyFont="1" applyFill="1" applyBorder="1" applyAlignment="1" applyProtection="1">
      <alignment horizontal="center"/>
    </xf>
    <xf numFmtId="3" fontId="40" fillId="15" borderId="0" xfId="0" applyNumberFormat="1" applyFont="1" applyFill="1" applyBorder="1" applyAlignment="1" applyProtection="1">
      <alignment horizontal="center"/>
    </xf>
    <xf numFmtId="174" fontId="69" fillId="15" borderId="0" xfId="2" applyNumberFormat="1" applyFont="1" applyFill="1" applyBorder="1" applyAlignment="1" applyProtection="1">
      <alignment horizontal="center"/>
    </xf>
    <xf numFmtId="165" fontId="70" fillId="15" borderId="0" xfId="0" applyNumberFormat="1" applyFont="1" applyFill="1" applyBorder="1" applyAlignment="1" applyProtection="1">
      <alignment horizontal="center"/>
    </xf>
    <xf numFmtId="164" fontId="40" fillId="15" borderId="0" xfId="2" applyNumberFormat="1" applyFont="1" applyFill="1" applyBorder="1" applyProtection="1"/>
    <xf numFmtId="167" fontId="40" fillId="15" borderId="0" xfId="0" applyNumberFormat="1" applyFont="1" applyFill="1" applyBorder="1" applyProtection="1"/>
    <xf numFmtId="168" fontId="40" fillId="15" borderId="0" xfId="2" applyNumberFormat="1" applyFont="1" applyFill="1" applyBorder="1" applyAlignment="1" applyProtection="1">
      <alignment horizontal="center"/>
    </xf>
    <xf numFmtId="3" fontId="69" fillId="21" borderId="55" xfId="0" applyNumberFormat="1" applyFont="1" applyFill="1" applyBorder="1" applyAlignment="1" applyProtection="1">
      <alignment horizontal="center"/>
    </xf>
    <xf numFmtId="3" fontId="69" fillId="21" borderId="58" xfId="0" applyNumberFormat="1" applyFont="1" applyFill="1" applyBorder="1" applyAlignment="1" applyProtection="1">
      <alignment horizontal="center"/>
    </xf>
    <xf numFmtId="3" fontId="42" fillId="4" borderId="29" xfId="0" applyNumberFormat="1" applyFont="1" applyFill="1" applyBorder="1" applyAlignment="1" applyProtection="1">
      <alignment horizontal="center"/>
    </xf>
    <xf numFmtId="3" fontId="42" fillId="4" borderId="31" xfId="0" applyNumberFormat="1" applyFont="1" applyFill="1" applyBorder="1" applyAlignment="1" applyProtection="1">
      <alignment horizontal="center"/>
    </xf>
    <xf numFmtId="3" fontId="42" fillId="4" borderId="34" xfId="0" applyNumberFormat="1" applyFont="1" applyFill="1" applyBorder="1" applyAlignment="1" applyProtection="1">
      <alignment horizontal="center"/>
    </xf>
    <xf numFmtId="3" fontId="46" fillId="4" borderId="37" xfId="0" applyNumberFormat="1" applyFont="1" applyFill="1" applyBorder="1" applyAlignment="1" applyProtection="1">
      <alignment horizontal="center"/>
    </xf>
    <xf numFmtId="2" fontId="69" fillId="15" borderId="0" xfId="0" applyNumberFormat="1" applyFont="1" applyFill="1" applyBorder="1" applyAlignment="1" applyProtection="1">
      <alignment horizontal="center"/>
    </xf>
    <xf numFmtId="3" fontId="45" fillId="15" borderId="0" xfId="0" applyNumberFormat="1" applyFont="1" applyFill="1" applyBorder="1" applyProtection="1"/>
    <xf numFmtId="0" fontId="44" fillId="15" borderId="0" xfId="0" applyNumberFormat="1" applyFont="1" applyFill="1" applyBorder="1" applyAlignment="1" applyProtection="1">
      <alignment horizontal="center"/>
    </xf>
    <xf numFmtId="167" fontId="40" fillId="15" borderId="0" xfId="0" applyNumberFormat="1" applyFont="1" applyFill="1" applyBorder="1" applyAlignment="1" applyProtection="1">
      <alignment horizontal="center"/>
    </xf>
    <xf numFmtId="167" fontId="44" fillId="15" borderId="0" xfId="0" applyNumberFormat="1" applyFont="1" applyFill="1" applyBorder="1" applyAlignment="1" applyProtection="1">
      <alignment horizontal="center"/>
    </xf>
    <xf numFmtId="2" fontId="44" fillId="15" borderId="0" xfId="0" applyNumberFormat="1" applyFont="1" applyFill="1" applyBorder="1" applyAlignment="1" applyProtection="1">
      <alignment horizontal="center"/>
    </xf>
    <xf numFmtId="3" fontId="44" fillId="15" borderId="0" xfId="0" applyNumberFormat="1" applyFont="1" applyFill="1" applyBorder="1" applyAlignment="1" applyProtection="1">
      <alignment horizontal="center"/>
    </xf>
    <xf numFmtId="0" fontId="42" fillId="4" borderId="25" xfId="0" applyNumberFormat="1" applyFont="1" applyFill="1" applyBorder="1" applyAlignment="1" applyProtection="1">
      <alignment horizontal="center"/>
    </xf>
    <xf numFmtId="0" fontId="42" fillId="4" borderId="25" xfId="0" applyNumberFormat="1" applyFont="1" applyFill="1" applyBorder="1" applyAlignment="1" applyProtection="1">
      <alignment horizontal="center"/>
    </xf>
    <xf numFmtId="9" fontId="40" fillId="15" borderId="0" xfId="0" applyNumberFormat="1" applyFont="1" applyFill="1" applyBorder="1" applyProtection="1"/>
    <xf numFmtId="16" fontId="40" fillId="15" borderId="0" xfId="0" applyNumberFormat="1" applyFont="1" applyFill="1" applyBorder="1" applyProtection="1"/>
    <xf numFmtId="0" fontId="40" fillId="2" borderId="0" xfId="0" applyFont="1" applyFill="1" applyAlignment="1" applyProtection="1">
      <alignment horizontal="left"/>
    </xf>
    <xf numFmtId="0" fontId="45" fillId="2" borderId="0" xfId="0" applyFont="1" applyFill="1" applyProtection="1"/>
    <xf numFmtId="0" fontId="46" fillId="3" borderId="0" xfId="0" applyFont="1" applyFill="1" applyBorder="1" applyAlignment="1" applyProtection="1">
      <alignment horizontal="left"/>
    </xf>
    <xf numFmtId="0" fontId="9" fillId="15" borderId="0" xfId="1" applyFill="1" applyBorder="1" applyAlignment="1" applyProtection="1">
      <protection locked="0"/>
    </xf>
    <xf numFmtId="0" fontId="72" fillId="15" borderId="0" xfId="0" applyFont="1" applyFill="1" applyBorder="1" applyAlignment="1" applyProtection="1">
      <protection locked="0"/>
    </xf>
    <xf numFmtId="177" fontId="42" fillId="4" borderId="0" xfId="0" applyNumberFormat="1" applyFont="1" applyFill="1" applyBorder="1" applyAlignment="1" applyProtection="1">
      <alignment horizontal="center"/>
    </xf>
    <xf numFmtId="0" fontId="82" fillId="4" borderId="60" xfId="0" applyFont="1" applyFill="1" applyBorder="1" applyAlignment="1" applyProtection="1">
      <alignment vertical="center" wrapText="1"/>
      <protection locked="0"/>
    </xf>
    <xf numFmtId="0" fontId="82" fillId="4" borderId="61" xfId="0" applyFont="1" applyFill="1" applyBorder="1" applyAlignment="1" applyProtection="1">
      <alignment vertical="center"/>
      <protection locked="0"/>
    </xf>
    <xf numFmtId="0" fontId="42" fillId="4" borderId="25" xfId="0" applyNumberFormat="1" applyFont="1" applyFill="1" applyBorder="1" applyAlignment="1" applyProtection="1">
      <alignment horizontal="center"/>
    </xf>
    <xf numFmtId="0" fontId="33" fillId="14" borderId="0" xfId="0" applyFont="1" applyFill="1" applyAlignment="1" applyProtection="1">
      <alignment horizontal="right"/>
    </xf>
    <xf numFmtId="17" fontId="40" fillId="15" borderId="0" xfId="0" quotePrefix="1" applyNumberFormat="1" applyFont="1" applyFill="1" applyBorder="1" applyProtection="1"/>
    <xf numFmtId="172" fontId="40" fillId="15" borderId="0" xfId="0" applyNumberFormat="1" applyFont="1" applyFill="1" applyBorder="1" applyProtection="1"/>
    <xf numFmtId="0" fontId="40" fillId="15" borderId="0" xfId="0" applyFont="1" applyFill="1" applyBorder="1" applyAlignment="1" applyProtection="1">
      <alignment horizontal="right"/>
    </xf>
    <xf numFmtId="9" fontId="40" fillId="2" borderId="0" xfId="0" applyNumberFormat="1" applyFont="1" applyFill="1" applyProtection="1"/>
    <xf numFmtId="9" fontId="40" fillId="15" borderId="0" xfId="3" applyFont="1" applyFill="1" applyBorder="1" applyProtection="1"/>
    <xf numFmtId="9" fontId="40" fillId="15" borderId="0" xfId="3" applyFont="1" applyFill="1" applyBorder="1" applyAlignment="1" applyProtection="1">
      <alignment horizontal="right"/>
    </xf>
    <xf numFmtId="166" fontId="40" fillId="15" borderId="0" xfId="0" applyNumberFormat="1" applyFont="1" applyFill="1" applyBorder="1" applyProtection="1"/>
    <xf numFmtId="0" fontId="40" fillId="15" borderId="0" xfId="0" applyFont="1" applyFill="1" applyBorder="1"/>
    <xf numFmtId="10" fontId="40" fillId="15" borderId="0" xfId="3" applyNumberFormat="1" applyFont="1" applyFill="1" applyBorder="1" applyProtection="1"/>
    <xf numFmtId="169" fontId="40" fillId="15" borderId="0" xfId="0" applyNumberFormat="1" applyFont="1" applyFill="1" applyBorder="1" applyProtection="1"/>
    <xf numFmtId="0" fontId="40" fillId="15" borderId="0" xfId="0" applyFont="1" applyFill="1" applyBorder="1" applyAlignment="1" applyProtection="1">
      <alignment horizontal="left"/>
    </xf>
    <xf numFmtId="0" fontId="40" fillId="15" borderId="0" xfId="0" applyFont="1" applyFill="1" applyBorder="1" applyAlignment="1" applyProtection="1"/>
    <xf numFmtId="3" fontId="40" fillId="15" borderId="0" xfId="0" applyNumberFormat="1" applyFont="1" applyFill="1" applyBorder="1" applyAlignment="1" applyProtection="1">
      <alignment horizontal="right"/>
    </xf>
    <xf numFmtId="0" fontId="40" fillId="15" borderId="0" xfId="0" applyFont="1" applyFill="1" applyBorder="1" applyAlignment="1" applyProtection="1">
      <alignment horizontal="center"/>
    </xf>
    <xf numFmtId="4" fontId="44" fillId="15" borderId="0" xfId="0" applyNumberFormat="1" applyFont="1" applyFill="1" applyBorder="1" applyProtection="1"/>
    <xf numFmtId="167" fontId="44" fillId="15" borderId="0" xfId="0" applyNumberFormat="1" applyFont="1" applyFill="1" applyBorder="1" applyProtection="1"/>
    <xf numFmtId="3" fontId="44" fillId="15" borderId="0" xfId="0" applyNumberFormat="1" applyFont="1" applyFill="1" applyBorder="1" applyProtection="1"/>
    <xf numFmtId="2" fontId="44" fillId="15" borderId="0" xfId="0" applyNumberFormat="1" applyFont="1" applyFill="1" applyBorder="1" applyProtection="1"/>
    <xf numFmtId="171" fontId="44" fillId="15" borderId="0" xfId="0" applyNumberFormat="1" applyFont="1" applyFill="1" applyBorder="1" applyProtection="1"/>
    <xf numFmtId="0" fontId="44" fillId="2" borderId="0" xfId="0" applyFont="1" applyFill="1" applyProtection="1"/>
    <xf numFmtId="1" fontId="44" fillId="15" borderId="0" xfId="0" applyNumberFormat="1" applyFont="1" applyFill="1" applyBorder="1" applyProtection="1"/>
    <xf numFmtId="175" fontId="40" fillId="15" borderId="0" xfId="0" applyNumberFormat="1" applyFont="1" applyFill="1" applyBorder="1" applyProtection="1"/>
    <xf numFmtId="0" fontId="44" fillId="15" borderId="0" xfId="0" applyFont="1" applyFill="1" applyBorder="1"/>
    <xf numFmtId="3" fontId="40" fillId="15" borderId="0" xfId="0" applyNumberFormat="1" applyFont="1" applyFill="1" applyProtection="1"/>
    <xf numFmtId="3" fontId="40" fillId="2" borderId="0" xfId="0" applyNumberFormat="1" applyFont="1" applyFill="1" applyProtection="1"/>
    <xf numFmtId="0" fontId="73" fillId="2" borderId="0" xfId="1" applyFont="1" applyFill="1" applyBorder="1" applyAlignment="1" applyProtection="1">
      <protection locked="0"/>
    </xf>
    <xf numFmtId="0" fontId="87" fillId="0" borderId="0" xfId="0" applyFont="1" applyBorder="1" applyAlignment="1" applyProtection="1">
      <protection locked="0"/>
    </xf>
    <xf numFmtId="0" fontId="73" fillId="15" borderId="0" xfId="1" applyFont="1" applyFill="1" applyBorder="1" applyAlignment="1" applyProtection="1">
      <protection locked="0"/>
    </xf>
    <xf numFmtId="0" fontId="87" fillId="15" borderId="0" xfId="0" applyFont="1" applyFill="1" applyBorder="1" applyAlignment="1" applyProtection="1">
      <protection locked="0"/>
    </xf>
    <xf numFmtId="0" fontId="42" fillId="3" borderId="0" xfId="0" applyFont="1" applyFill="1" applyBorder="1" applyAlignment="1" applyProtection="1">
      <alignment horizontal="left" vertical="center"/>
    </xf>
    <xf numFmtId="0" fontId="46" fillId="4" borderId="25" xfId="0" applyNumberFormat="1" applyFont="1" applyFill="1" applyBorder="1" applyAlignment="1" applyProtection="1"/>
    <xf numFmtId="0" fontId="46" fillId="4" borderId="25" xfId="0" applyFont="1" applyFill="1" applyBorder="1" applyAlignment="1" applyProtection="1"/>
    <xf numFmtId="0" fontId="22" fillId="2" borderId="0" xfId="0" applyFont="1" applyFill="1" applyBorder="1" applyAlignment="1" applyProtection="1">
      <alignment horizontal="center"/>
    </xf>
    <xf numFmtId="0" fontId="16" fillId="2" borderId="0" xfId="0" applyFont="1" applyFill="1" applyBorder="1" applyAlignment="1" applyProtection="1">
      <alignment horizontal="center"/>
    </xf>
    <xf numFmtId="0" fontId="27" fillId="0" borderId="0" xfId="0" applyFont="1" applyAlignment="1">
      <alignment horizontal="center"/>
    </xf>
    <xf numFmtId="0" fontId="9" fillId="0" borderId="0" xfId="1" applyAlignment="1" applyProtection="1">
      <protection locked="0"/>
    </xf>
    <xf numFmtId="0" fontId="32" fillId="2" borderId="0" xfId="1" applyFont="1" applyFill="1" applyBorder="1" applyAlignment="1" applyProtection="1">
      <alignment horizontal="left"/>
      <protection locked="0"/>
    </xf>
    <xf numFmtId="0" fontId="41" fillId="0" borderId="0" xfId="0" applyFont="1" applyAlignment="1" applyProtection="1">
      <protection locked="0"/>
    </xf>
    <xf numFmtId="0" fontId="9" fillId="2" borderId="0" xfId="1" applyFill="1" applyBorder="1" applyAlignment="1" applyProtection="1">
      <alignment horizontal="left"/>
      <protection locked="0"/>
    </xf>
    <xf numFmtId="0" fontId="42" fillId="4" borderId="25" xfId="0" applyNumberFormat="1" applyFont="1" applyFill="1" applyBorder="1" applyAlignment="1" applyProtection="1">
      <alignment horizontal="center"/>
    </xf>
    <xf numFmtId="0" fontId="42" fillId="2" borderId="31" xfId="0" applyFont="1" applyFill="1" applyBorder="1" applyAlignment="1" applyProtection="1">
      <alignment horizontal="center"/>
      <protection locked="0"/>
    </xf>
    <xf numFmtId="0" fontId="42" fillId="0" borderId="30" xfId="0" applyFont="1" applyBorder="1" applyAlignment="1" applyProtection="1">
      <alignment horizontal="center"/>
      <protection locked="0"/>
    </xf>
    <xf numFmtId="0" fontId="9" fillId="4" borderId="0" xfId="1" applyFill="1" applyBorder="1" applyAlignment="1" applyProtection="1">
      <alignment horizontal="center"/>
      <protection locked="0"/>
    </xf>
    <xf numFmtId="0" fontId="81" fillId="4" borderId="0" xfId="1" applyFont="1" applyFill="1" applyBorder="1" applyAlignment="1" applyProtection="1">
      <alignment horizontal="center"/>
      <protection locked="0"/>
    </xf>
    <xf numFmtId="0" fontId="40" fillId="15" borderId="0" xfId="0" applyFont="1" applyFill="1" applyBorder="1" applyAlignment="1" applyProtection="1">
      <alignment horizontal="center"/>
    </xf>
    <xf numFmtId="0" fontId="39" fillId="2" borderId="0" xfId="1" applyFont="1" applyFill="1" applyAlignment="1" applyProtection="1"/>
    <xf numFmtId="0" fontId="73" fillId="2" borderId="0" xfId="1" applyFont="1" applyFill="1" applyAlignment="1" applyProtection="1">
      <alignment horizontal="left"/>
      <protection locked="0"/>
    </xf>
    <xf numFmtId="0" fontId="74" fillId="2" borderId="0" xfId="1" applyFont="1" applyFill="1" applyAlignment="1" applyProtection="1">
      <alignment horizontal="left"/>
      <protection locked="0"/>
    </xf>
    <xf numFmtId="0" fontId="70" fillId="0" borderId="0" xfId="0" applyFont="1" applyAlignment="1">
      <alignment horizontal="justify" vertical="center"/>
    </xf>
    <xf numFmtId="0" fontId="40" fillId="0" borderId="0" xfId="0" applyFont="1" applyAlignment="1"/>
    <xf numFmtId="0" fontId="83" fillId="0" borderId="0" xfId="0" applyFont="1" applyAlignment="1">
      <alignment horizontal="justify" vertical="center"/>
    </xf>
    <xf numFmtId="0" fontId="39" fillId="0" borderId="0" xfId="0" applyFont="1" applyAlignment="1"/>
    <xf numFmtId="0" fontId="30" fillId="2" borderId="0" xfId="1" applyFont="1" applyFill="1" applyAlignment="1" applyProtection="1">
      <alignment horizontal="center" vertical="center"/>
    </xf>
    <xf numFmtId="0" fontId="13" fillId="0" borderId="0" xfId="0" applyFont="1" applyAlignment="1">
      <alignment horizontal="center" vertical="center"/>
    </xf>
    <xf numFmtId="0" fontId="42" fillId="4" borderId="25" xfId="0" applyFont="1" applyFill="1" applyBorder="1" applyAlignment="1">
      <alignment horizontal="center"/>
    </xf>
    <xf numFmtId="0" fontId="72" fillId="4" borderId="0" xfId="0" applyFont="1" applyFill="1" applyBorder="1" applyAlignment="1" applyProtection="1">
      <alignment horizontal="left" vertical="center" wrapText="1"/>
    </xf>
    <xf numFmtId="0" fontId="46" fillId="3" borderId="0" xfId="0" applyFont="1" applyFill="1" applyBorder="1" applyAlignment="1" applyProtection="1">
      <alignment horizontal="left"/>
    </xf>
    <xf numFmtId="0" fontId="75" fillId="15" borderId="0" xfId="0" applyFont="1" applyFill="1" applyBorder="1" applyAlignment="1" applyProtection="1">
      <alignment horizontal="center"/>
    </xf>
    <xf numFmtId="0" fontId="76" fillId="15" borderId="0" xfId="0" applyFont="1" applyFill="1" applyBorder="1" applyAlignment="1">
      <alignment horizontal="center"/>
    </xf>
    <xf numFmtId="0" fontId="77" fillId="15" borderId="0" xfId="0" applyFont="1" applyFill="1" applyAlignment="1" applyProtection="1">
      <alignment horizontal="center"/>
    </xf>
    <xf numFmtId="0" fontId="77" fillId="15" borderId="0" xfId="0" applyFont="1" applyFill="1" applyAlignment="1">
      <alignment horizontal="center"/>
    </xf>
    <xf numFmtId="3" fontId="3" fillId="4" borderId="0" xfId="0" applyNumberFormat="1" applyFont="1" applyFill="1" applyBorder="1" applyAlignment="1" applyProtection="1">
      <alignment horizontal="center"/>
    </xf>
    <xf numFmtId="3" fontId="3" fillId="4" borderId="0" xfId="0" applyNumberFormat="1" applyFont="1" applyFill="1" applyBorder="1" applyAlignment="1" applyProtection="1">
      <alignment horizontal="left"/>
    </xf>
    <xf numFmtId="0" fontId="42" fillId="4" borderId="25" xfId="0" applyFont="1" applyFill="1" applyBorder="1" applyAlignment="1" applyProtection="1">
      <alignment horizontal="center"/>
    </xf>
    <xf numFmtId="0" fontId="78" fillId="14" borderId="44" xfId="0" applyFont="1" applyFill="1" applyBorder="1" applyAlignment="1" applyProtection="1">
      <alignment horizontal="right" vertical="center" textRotation="90"/>
    </xf>
    <xf numFmtId="0" fontId="27" fillId="14" borderId="44" xfId="0" applyFont="1" applyFill="1" applyBorder="1" applyAlignment="1">
      <alignment horizontal="right" vertical="center" textRotation="90"/>
    </xf>
    <xf numFmtId="0" fontId="27" fillId="14" borderId="50" xfId="0" applyFont="1" applyFill="1" applyBorder="1" applyAlignment="1">
      <alignment horizontal="right" vertical="center" textRotation="90"/>
    </xf>
    <xf numFmtId="0" fontId="68" fillId="15" borderId="0" xfId="0" applyFont="1" applyFill="1" applyBorder="1" applyAlignment="1" applyProtection="1">
      <alignment horizontal="left"/>
    </xf>
    <xf numFmtId="0" fontId="69" fillId="15" borderId="0" xfId="0" applyFont="1" applyFill="1" applyBorder="1" applyAlignment="1" applyProtection="1">
      <alignment horizontal="left"/>
    </xf>
    <xf numFmtId="0" fontId="42" fillId="4" borderId="31" xfId="0" quotePrefix="1" applyFont="1" applyFill="1" applyBorder="1" applyAlignment="1" applyProtection="1">
      <alignment horizontal="left"/>
    </xf>
    <xf numFmtId="0" fontId="42" fillId="4" borderId="30" xfId="0" quotePrefix="1" applyFont="1" applyFill="1" applyBorder="1" applyAlignment="1" applyProtection="1">
      <alignment horizontal="left"/>
    </xf>
    <xf numFmtId="0" fontId="9" fillId="2" borderId="31" xfId="1" applyFill="1" applyBorder="1" applyAlignment="1" applyProtection="1">
      <alignment horizontal="left"/>
      <protection locked="0"/>
    </xf>
    <xf numFmtId="0" fontId="72" fillId="0" borderId="59" xfId="0" applyFont="1" applyBorder="1" applyAlignment="1" applyProtection="1">
      <alignment horizontal="left"/>
      <protection locked="0"/>
    </xf>
    <xf numFmtId="0" fontId="72" fillId="0" borderId="30" xfId="0" applyFont="1" applyBorder="1" applyAlignment="1" applyProtection="1">
      <alignment horizontal="left"/>
      <protection locked="0"/>
    </xf>
    <xf numFmtId="0" fontId="42" fillId="4" borderId="31" xfId="0" quotePrefix="1" applyFont="1" applyFill="1" applyBorder="1" applyAlignment="1" applyProtection="1">
      <alignment horizontal="center"/>
    </xf>
    <xf numFmtId="0" fontId="42" fillId="4" borderId="30" xfId="0" quotePrefix="1" applyFont="1" applyFill="1" applyBorder="1" applyAlignment="1" applyProtection="1">
      <alignment horizontal="center"/>
    </xf>
    <xf numFmtId="0" fontId="46" fillId="4" borderId="0" xfId="0" applyNumberFormat="1" applyFont="1" applyFill="1" applyBorder="1" applyAlignment="1" applyProtection="1">
      <alignment horizontal="center"/>
    </xf>
    <xf numFmtId="0" fontId="46" fillId="4" borderId="0" xfId="0" applyFont="1" applyFill="1" applyBorder="1" applyAlignment="1" applyProtection="1">
      <alignment horizontal="center"/>
    </xf>
    <xf numFmtId="0" fontId="46" fillId="4" borderId="25" xfId="0" applyNumberFormat="1" applyFont="1" applyFill="1" applyBorder="1" applyAlignment="1" applyProtection="1">
      <alignment horizontal="center"/>
    </xf>
    <xf numFmtId="0" fontId="46" fillId="4" borderId="25" xfId="0" applyFont="1" applyFill="1" applyBorder="1" applyAlignment="1" applyProtection="1">
      <alignment horizontal="center"/>
    </xf>
    <xf numFmtId="0" fontId="9" fillId="2" borderId="31" xfId="1" applyFont="1" applyFill="1" applyBorder="1" applyAlignment="1" applyProtection="1">
      <protection locked="0"/>
    </xf>
    <xf numFmtId="0" fontId="42" fillId="0" borderId="59" xfId="0" applyFont="1" applyBorder="1" applyAlignment="1" applyProtection="1">
      <protection locked="0"/>
    </xf>
    <xf numFmtId="0" fontId="42" fillId="0" borderId="30" xfId="0" applyFont="1" applyBorder="1" applyAlignment="1" applyProtection="1">
      <protection locked="0"/>
    </xf>
    <xf numFmtId="0" fontId="80" fillId="14" borderId="0" xfId="1" applyFont="1" applyFill="1" applyBorder="1" applyAlignment="1" applyProtection="1">
      <alignment horizontal="center" wrapText="1"/>
      <protection locked="0"/>
    </xf>
    <xf numFmtId="0" fontId="59" fillId="2" borderId="31" xfId="1" applyFont="1" applyFill="1" applyBorder="1" applyAlignment="1" applyProtection="1">
      <protection locked="0"/>
    </xf>
    <xf numFmtId="0" fontId="79" fillId="2" borderId="59" xfId="1" applyFont="1" applyFill="1" applyBorder="1" applyAlignment="1" applyProtection="1">
      <protection locked="0"/>
    </xf>
    <xf numFmtId="0" fontId="79" fillId="2" borderId="30" xfId="1" applyFont="1" applyFill="1" applyBorder="1" applyAlignment="1" applyProtection="1">
      <protection locked="0"/>
    </xf>
    <xf numFmtId="0" fontId="42" fillId="4" borderId="0" xfId="0" applyFont="1" applyFill="1" applyBorder="1" applyAlignment="1" applyProtection="1">
      <alignment horizontal="left" vertical="top" wrapText="1"/>
    </xf>
    <xf numFmtId="0" fontId="42" fillId="0" borderId="0" xfId="0" applyFont="1" applyAlignment="1">
      <alignment horizontal="left" vertical="top" wrapText="1"/>
    </xf>
    <xf numFmtId="0" fontId="20" fillId="2" borderId="0" xfId="1" applyFont="1" applyFill="1" applyAlignment="1" applyProtection="1">
      <alignment horizontal="left"/>
      <protection locked="0"/>
    </xf>
    <xf numFmtId="0" fontId="0" fillId="0" borderId="0" xfId="0" applyAlignment="1"/>
    <xf numFmtId="0" fontId="9" fillId="0" borderId="0" xfId="1" applyAlignment="1" applyProtection="1"/>
    <xf numFmtId="0" fontId="3" fillId="2" borderId="0" xfId="0" applyFont="1" applyFill="1" applyBorder="1"/>
    <xf numFmtId="0" fontId="3" fillId="2" borderId="0" xfId="0" quotePrefix="1" applyFont="1" applyFill="1" applyBorder="1"/>
  </cellXfs>
  <cellStyles count="6">
    <cellStyle name="Komma" xfId="2" builtinId="3"/>
    <cellStyle name="Link" xfId="1" builtinId="8"/>
    <cellStyle name="Prozent" xfId="3" builtinId="5"/>
    <cellStyle name="Standard" xfId="0" builtinId="0"/>
    <cellStyle name="Standard 2" xfId="4" xr:uid="{00000000-0005-0000-0000-000004000000}"/>
    <cellStyle name="Standard_Tabelle 2" xfId="5" xr:uid="{00000000-0005-0000-0000-000005000000}"/>
  </cellStyles>
  <dxfs count="16">
    <dxf>
      <font>
        <color rgb="FFC00000"/>
      </font>
      <fill>
        <patternFill>
          <bgColor theme="0" tint="-0.24994659260841701"/>
        </patternFill>
      </fill>
      <border>
        <left/>
        <right/>
        <top/>
        <bottom/>
      </border>
    </dxf>
    <dxf>
      <font>
        <color theme="0" tint="-0.24994659260841701"/>
      </font>
      <fill>
        <patternFill>
          <bgColor theme="0" tint="-0.24994659260841701"/>
        </patternFill>
      </fill>
      <border>
        <left/>
        <right/>
        <top/>
        <bottom/>
      </border>
    </dxf>
    <dxf>
      <font>
        <color theme="0" tint="-0.24994659260841701"/>
      </font>
      <fill>
        <patternFill patternType="solid">
          <fgColor indexed="64"/>
          <bgColor theme="0" tint="-0.24994659260841701"/>
        </patternFill>
      </fill>
      <border>
        <left style="thin">
          <color theme="0" tint="-0.499984740745262"/>
        </left>
        <right/>
        <top/>
        <bottom/>
      </border>
    </dxf>
    <dxf>
      <font>
        <b/>
        <i val="0"/>
        <condense val="0"/>
        <extend val="0"/>
        <color indexed="57"/>
      </font>
      <fill>
        <patternFill>
          <bgColor indexed="22"/>
        </patternFill>
      </fill>
    </dxf>
    <dxf>
      <font>
        <b/>
        <i val="0"/>
        <condense val="0"/>
        <extend val="0"/>
        <color indexed="10"/>
      </font>
      <fill>
        <patternFill>
          <bgColor indexed="22"/>
        </patternFill>
      </fill>
    </dxf>
    <dxf>
      <font>
        <color theme="0" tint="-0.24994659260841701"/>
      </font>
      <fill>
        <patternFill patternType="solid">
          <fgColor indexed="64"/>
          <bgColor theme="0" tint="-0.24994659260841701"/>
        </patternFill>
      </fill>
      <border>
        <left/>
        <right/>
        <top style="thin">
          <color theme="0" tint="-0.499984740745262"/>
        </top>
        <bottom/>
      </border>
    </dxf>
    <dxf>
      <font>
        <color rgb="FFC00000"/>
      </font>
    </dxf>
    <dxf>
      <font>
        <condense val="0"/>
        <extend val="0"/>
        <color indexed="22"/>
      </font>
      <fill>
        <patternFill>
          <bgColor indexed="22"/>
        </patternFill>
      </fill>
    </dxf>
    <dxf>
      <font>
        <condense val="0"/>
        <extend val="0"/>
        <color indexed="22"/>
      </font>
      <fill>
        <patternFill>
          <bgColor indexed="22"/>
        </patternFill>
      </fill>
      <border>
        <left/>
        <right/>
        <top/>
        <bottom/>
      </border>
    </dxf>
    <dxf>
      <font>
        <condense val="0"/>
        <extend val="0"/>
        <color indexed="22"/>
      </font>
      <fill>
        <patternFill>
          <bgColor indexed="22"/>
        </patternFill>
      </fill>
      <border>
        <left/>
        <right/>
        <top/>
        <bottom/>
      </border>
    </dxf>
    <dxf>
      <font>
        <condense val="0"/>
        <extend val="0"/>
        <color indexed="22"/>
      </font>
      <fill>
        <patternFill>
          <bgColor indexed="22"/>
        </patternFill>
      </fill>
      <border>
        <left/>
        <right/>
        <top/>
        <bottom/>
      </border>
    </dxf>
    <dxf>
      <font>
        <color theme="0" tint="-0.24994659260841701"/>
      </font>
      <fill>
        <patternFill>
          <bgColor theme="0" tint="-0.24994659260841701"/>
        </patternFill>
      </fill>
      <border>
        <left style="thin">
          <color theme="0" tint="-0.24994659260841701"/>
        </left>
        <right style="thin">
          <color theme="0" tint="-0.24994659260841701"/>
        </right>
        <top style="thin">
          <color theme="0" tint="-0.24994659260841701"/>
        </top>
        <bottom style="thin">
          <color theme="0" tint="-0.24994659260841701"/>
        </bottom>
      </border>
    </dxf>
    <dxf>
      <font>
        <b val="0"/>
        <i val="0"/>
        <color rgb="FFC00000"/>
        <name val="Cambria"/>
        <scheme val="none"/>
      </font>
    </dxf>
    <dxf>
      <font>
        <condense val="0"/>
        <extend val="0"/>
        <color auto="1"/>
      </font>
      <fill>
        <patternFill>
          <bgColor theme="0" tint="-0.24994659260841701"/>
        </patternFill>
      </fill>
      <border>
        <left/>
        <right style="thin">
          <color theme="0" tint="-0.499984740745262"/>
        </right>
        <top/>
        <bottom/>
      </border>
    </dxf>
    <dxf>
      <font>
        <condense val="0"/>
        <extend val="0"/>
        <color indexed="22"/>
      </font>
      <fill>
        <patternFill>
          <bgColor indexed="22"/>
        </patternFill>
      </fill>
    </dxf>
    <dxf>
      <font>
        <condense val="0"/>
        <extend val="0"/>
        <color indexed="22"/>
      </font>
      <fill>
        <patternFill>
          <bgColor indexed="22"/>
        </patternFill>
      </fill>
    </dxf>
  </dxfs>
  <tableStyles count="0" defaultTableStyle="TableStyleMedium2" defaultPivotStyle="PivotStyleLight16"/>
  <colors>
    <mruColors>
      <color rgb="FF01519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0403466845473"/>
          <c:y val="7.1428531917553467E-2"/>
          <c:w val="0.86955509027903555"/>
          <c:h val="0.8092533302651711"/>
        </c:manualLayout>
      </c:layout>
      <c:barChart>
        <c:barDir val="col"/>
        <c:grouping val="clustered"/>
        <c:varyColors val="0"/>
        <c:ser>
          <c:idx val="1"/>
          <c:order val="0"/>
          <c:tx>
            <c:strRef>
              <c:f>Berechnungen!$L$9:$L$10</c:f>
              <c:strCache>
                <c:ptCount val="2"/>
                <c:pt idx="0">
                  <c:v>Kapitalwert</c:v>
                </c:pt>
                <c:pt idx="1">
                  <c:v>[€]</c:v>
                </c:pt>
              </c:strCache>
            </c:strRef>
          </c:tx>
          <c:spPr>
            <a:solidFill>
              <a:srgbClr val="015198"/>
            </a:solidFill>
            <a:ln w="25400">
              <a:noFill/>
            </a:ln>
          </c:spPr>
          <c:invertIfNegative val="1"/>
          <c:cat>
            <c:numRef>
              <c:f>Berechnungen!$B$11:$B$36</c:f>
              <c:numCache>
                <c:formatCode>General</c:formatCode>
                <c:ptCount val="26"/>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pt idx="24">
                  <c:v>24</c:v>
                </c:pt>
                <c:pt idx="25">
                  <c:v>25</c:v>
                </c:pt>
              </c:numCache>
            </c:numRef>
          </c:cat>
          <c:val>
            <c:numRef>
              <c:f>Berechnungen!$L$11:$L$36</c:f>
              <c:numCache>
                <c:formatCode>#,##0</c:formatCode>
                <c:ptCount val="26"/>
                <c:pt idx="0">
                  <c:v>-7230</c:v>
                </c:pt>
                <c:pt idx="1">
                  <c:v>-6305.4622274660633</c:v>
                </c:pt>
                <c:pt idx="2">
                  <c:v>-5404.049846780732</c:v>
                </c:pt>
                <c:pt idx="3">
                  <c:v>-4525.2052997019618</c:v>
                </c:pt>
                <c:pt idx="4">
                  <c:v>-3668.3844708385504</c:v>
                </c:pt>
                <c:pt idx="5">
                  <c:v>-2833.0563635400699</c:v>
                </c:pt>
                <c:pt idx="6">
                  <c:v>-2018.7027836011657</c:v>
                </c:pt>
                <c:pt idx="7">
                  <c:v>-1224.8180305918133</c:v>
                </c:pt>
                <c:pt idx="8">
                  <c:v>-450.9085966296708</c:v>
                </c:pt>
                <c:pt idx="9">
                  <c:v>303.50712758490818</c:v>
                </c:pt>
                <c:pt idx="10">
                  <c:v>1038.8991396462961</c:v>
                </c:pt>
                <c:pt idx="11">
                  <c:v>1755.7261054043411</c:v>
                </c:pt>
                <c:pt idx="12">
                  <c:v>2454.4356321751961</c:v>
                </c:pt>
                <c:pt idx="13">
                  <c:v>1033.4552338936096</c:v>
                </c:pt>
                <c:pt idx="14">
                  <c:v>1697.2297971937192</c:v>
                </c:pt>
                <c:pt idx="15">
                  <c:v>2344.1660265027549</c:v>
                </c:pt>
                <c:pt idx="16">
                  <c:v>2974.6698977263568</c:v>
                </c:pt>
                <c:pt idx="17">
                  <c:v>3589.1375986025205</c:v>
                </c:pt>
                <c:pt idx="18">
                  <c:v>4187.955764696454</c:v>
                </c:pt>
                <c:pt idx="19">
                  <c:v>4771.5017097055479</c:v>
                </c:pt>
                <c:pt idx="20">
                  <c:v>5340.1436502116403</c:v>
                </c:pt>
                <c:pt idx="21">
                  <c:v>5894.2409250144592</c:v>
                </c:pt>
                <c:pt idx="22">
                  <c:v>6434.1442091768859</c:v>
                </c:pt>
                <c:pt idx="23">
                  <c:v>6960.1957229095378</c:v>
                </c:pt>
                <c:pt idx="24">
                  <c:v>7472.7294354191026</c:v>
                </c:pt>
                <c:pt idx="25">
                  <c:v>7972.0712638418427</c:v>
                </c:pt>
              </c:numCache>
            </c:numRef>
          </c:val>
          <c:extLst>
            <c:ext xmlns:c14="http://schemas.microsoft.com/office/drawing/2007/8/2/chart" uri="{6F2FDCE9-48DA-4B69-8628-5D25D57E5C99}">
              <c14:invertSolidFillFmt>
                <c14:spPr xmlns:c14="http://schemas.microsoft.com/office/drawing/2007/8/2/chart">
                  <a:solidFill>
                    <a:srgbClr val="71706C"/>
                  </a:solidFill>
                  <a:ln w="25400">
                    <a:noFill/>
                  </a:ln>
                </c14:spPr>
              </c14:invertSolidFillFmt>
            </c:ext>
            <c:ext xmlns:c16="http://schemas.microsoft.com/office/drawing/2014/chart" uri="{C3380CC4-5D6E-409C-BE32-E72D297353CC}">
              <c16:uniqueId val="{00000000-4A70-4657-8322-8F73CD79F90D}"/>
            </c:ext>
          </c:extLst>
        </c:ser>
        <c:dLbls>
          <c:showLegendKey val="0"/>
          <c:showVal val="0"/>
          <c:showCatName val="0"/>
          <c:showSerName val="0"/>
          <c:showPercent val="0"/>
          <c:showBubbleSize val="0"/>
        </c:dLbls>
        <c:gapWidth val="125"/>
        <c:axId val="142956800"/>
        <c:axId val="142967168"/>
      </c:barChart>
      <c:lineChart>
        <c:grouping val="standard"/>
        <c:varyColors val="0"/>
        <c:ser>
          <c:idx val="0"/>
          <c:order val="1"/>
          <c:tx>
            <c:strRef>
              <c:f>Berechnungen!$L$9:$L$10</c:f>
              <c:strCache>
                <c:ptCount val="2"/>
                <c:pt idx="0">
                  <c:v>Kapitalwert</c:v>
                </c:pt>
                <c:pt idx="1">
                  <c:v>[€]</c:v>
                </c:pt>
              </c:strCache>
            </c:strRef>
          </c:tx>
          <c:spPr>
            <a:ln w="12700">
              <a:solidFill>
                <a:srgbClr val="71706C"/>
              </a:solidFill>
              <a:prstDash val="solid"/>
            </a:ln>
          </c:spPr>
          <c:marker>
            <c:symbol val="none"/>
          </c:marker>
          <c:val>
            <c:numRef>
              <c:f>Berechnungen!$L$11:$L$36</c:f>
              <c:numCache>
                <c:formatCode>#,##0</c:formatCode>
                <c:ptCount val="26"/>
                <c:pt idx="0">
                  <c:v>-7230</c:v>
                </c:pt>
                <c:pt idx="1">
                  <c:v>-6305.4622274660633</c:v>
                </c:pt>
                <c:pt idx="2">
                  <c:v>-5404.049846780732</c:v>
                </c:pt>
                <c:pt idx="3">
                  <c:v>-4525.2052997019618</c:v>
                </c:pt>
                <c:pt idx="4">
                  <c:v>-3668.3844708385504</c:v>
                </c:pt>
                <c:pt idx="5">
                  <c:v>-2833.0563635400699</c:v>
                </c:pt>
                <c:pt idx="6">
                  <c:v>-2018.7027836011657</c:v>
                </c:pt>
                <c:pt idx="7">
                  <c:v>-1224.8180305918133</c:v>
                </c:pt>
                <c:pt idx="8">
                  <c:v>-450.9085966296708</c:v>
                </c:pt>
                <c:pt idx="9">
                  <c:v>303.50712758490818</c:v>
                </c:pt>
                <c:pt idx="10">
                  <c:v>1038.8991396462961</c:v>
                </c:pt>
                <c:pt idx="11">
                  <c:v>1755.7261054043411</c:v>
                </c:pt>
                <c:pt idx="12">
                  <c:v>2454.4356321751961</c:v>
                </c:pt>
                <c:pt idx="13">
                  <c:v>1033.4552338936096</c:v>
                </c:pt>
                <c:pt idx="14">
                  <c:v>1697.2297971937192</c:v>
                </c:pt>
                <c:pt idx="15">
                  <c:v>2344.1660265027549</c:v>
                </c:pt>
                <c:pt idx="16">
                  <c:v>2974.6698977263568</c:v>
                </c:pt>
                <c:pt idx="17">
                  <c:v>3589.1375986025205</c:v>
                </c:pt>
                <c:pt idx="18">
                  <c:v>4187.955764696454</c:v>
                </c:pt>
                <c:pt idx="19">
                  <c:v>4771.5017097055479</c:v>
                </c:pt>
                <c:pt idx="20">
                  <c:v>5340.1436502116403</c:v>
                </c:pt>
                <c:pt idx="21">
                  <c:v>5894.2409250144592</c:v>
                </c:pt>
                <c:pt idx="22">
                  <c:v>6434.1442091768859</c:v>
                </c:pt>
                <c:pt idx="23">
                  <c:v>6960.1957229095378</c:v>
                </c:pt>
                <c:pt idx="24">
                  <c:v>7472.7294354191026</c:v>
                </c:pt>
                <c:pt idx="25">
                  <c:v>7972.0712638418427</c:v>
                </c:pt>
              </c:numCache>
            </c:numRef>
          </c:val>
          <c:smooth val="1"/>
          <c:extLst>
            <c:ext xmlns:c16="http://schemas.microsoft.com/office/drawing/2014/chart" uri="{C3380CC4-5D6E-409C-BE32-E72D297353CC}">
              <c16:uniqueId val="{00000001-4A70-4657-8322-8F73CD79F90D}"/>
            </c:ext>
          </c:extLst>
        </c:ser>
        <c:dLbls>
          <c:showLegendKey val="0"/>
          <c:showVal val="0"/>
          <c:showCatName val="0"/>
          <c:showSerName val="0"/>
          <c:showPercent val="0"/>
          <c:showBubbleSize val="0"/>
        </c:dLbls>
        <c:marker val="1"/>
        <c:smooth val="0"/>
        <c:axId val="142969088"/>
        <c:axId val="142979072"/>
      </c:lineChart>
      <c:catAx>
        <c:axId val="142956800"/>
        <c:scaling>
          <c:orientation val="minMax"/>
        </c:scaling>
        <c:delete val="0"/>
        <c:axPos val="b"/>
        <c:majorGridlines>
          <c:spPr>
            <a:ln w="3175">
              <a:solidFill>
                <a:srgbClr val="000000"/>
              </a:solidFill>
              <a:prstDash val="sysDash"/>
            </a:ln>
          </c:spPr>
        </c:majorGridlines>
        <c:title>
          <c:tx>
            <c:rich>
              <a:bodyPr/>
              <a:lstStyle/>
              <a:p>
                <a:pPr>
                  <a:defRPr sz="1000" b="1" i="0" u="none" strike="noStrike" baseline="0">
                    <a:solidFill>
                      <a:srgbClr val="000000"/>
                    </a:solidFill>
                    <a:latin typeface="Calibri"/>
                    <a:ea typeface="Calibri"/>
                    <a:cs typeface="Calibri"/>
                  </a:defRPr>
                </a:pPr>
                <a:r>
                  <a:rPr lang="de-AT"/>
                  <a:t>Jahre</a:t>
                </a:r>
              </a:p>
            </c:rich>
          </c:tx>
          <c:layout>
            <c:manualLayout>
              <c:xMode val="edge"/>
              <c:yMode val="edge"/>
              <c:x val="0.51506909118374589"/>
              <c:y val="0.94317233541683587"/>
            </c:manualLayout>
          </c:layout>
          <c:overlay val="0"/>
          <c:spPr>
            <a:noFill/>
            <a:ln w="25400">
              <a:noFill/>
            </a:ln>
          </c:spPr>
        </c:title>
        <c:numFmt formatCode="General" sourceLinked="1"/>
        <c:majorTickMark val="cross"/>
        <c:minorTickMark val="none"/>
        <c:tickLblPos val="low"/>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de-DE"/>
          </a:p>
        </c:txPr>
        <c:crossAx val="142967168"/>
        <c:crosses val="autoZero"/>
        <c:auto val="0"/>
        <c:lblAlgn val="ctr"/>
        <c:lblOffset val="100"/>
        <c:tickLblSkip val="1"/>
        <c:tickMarkSkip val="1"/>
        <c:noMultiLvlLbl val="0"/>
      </c:catAx>
      <c:valAx>
        <c:axId val="142967168"/>
        <c:scaling>
          <c:orientation val="minMax"/>
        </c:scaling>
        <c:delete val="0"/>
        <c:axPos val="l"/>
        <c:majorGridlines>
          <c:spPr>
            <a:ln w="3175">
              <a:solidFill>
                <a:srgbClr val="808080"/>
              </a:solidFill>
              <a:prstDash val="sysDash"/>
            </a:ln>
          </c:spPr>
        </c:majorGridlines>
        <c:title>
          <c:tx>
            <c:rich>
              <a:bodyPr/>
              <a:lstStyle/>
              <a:p>
                <a:pPr>
                  <a:defRPr sz="1000" b="1" i="0" u="none" strike="noStrike" baseline="0">
                    <a:solidFill>
                      <a:srgbClr val="000000"/>
                    </a:solidFill>
                    <a:latin typeface="Calibri"/>
                    <a:ea typeface="Calibri"/>
                    <a:cs typeface="Calibri"/>
                  </a:defRPr>
                </a:pPr>
                <a:r>
                  <a:rPr lang="de-AT"/>
                  <a:t>Euro</a:t>
                </a:r>
              </a:p>
            </c:rich>
          </c:tx>
          <c:layout>
            <c:manualLayout>
              <c:xMode val="edge"/>
              <c:yMode val="edge"/>
              <c:x val="1.3953435676655526E-3"/>
              <c:y val="0.42610926211543143"/>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de-DE"/>
          </a:p>
        </c:txPr>
        <c:crossAx val="142956800"/>
        <c:crosses val="autoZero"/>
        <c:crossBetween val="between"/>
      </c:valAx>
      <c:catAx>
        <c:axId val="142969088"/>
        <c:scaling>
          <c:orientation val="minMax"/>
        </c:scaling>
        <c:delete val="1"/>
        <c:axPos val="b"/>
        <c:majorTickMark val="out"/>
        <c:minorTickMark val="none"/>
        <c:tickLblPos val="nextTo"/>
        <c:crossAx val="142979072"/>
        <c:crosses val="autoZero"/>
        <c:auto val="0"/>
        <c:lblAlgn val="ctr"/>
        <c:lblOffset val="100"/>
        <c:noMultiLvlLbl val="0"/>
      </c:catAx>
      <c:valAx>
        <c:axId val="142979072"/>
        <c:scaling>
          <c:orientation val="minMax"/>
        </c:scaling>
        <c:delete val="1"/>
        <c:axPos val="l"/>
        <c:numFmt formatCode="#,##0" sourceLinked="1"/>
        <c:majorTickMark val="out"/>
        <c:minorTickMark val="none"/>
        <c:tickLblPos val="nextTo"/>
        <c:crossAx val="142969088"/>
        <c:crosses val="autoZero"/>
        <c:crossBetween val="between"/>
      </c:valAx>
      <c:spPr>
        <a:solidFill>
          <a:srgbClr val="FFFFFF"/>
        </a:solidFill>
        <a:ln w="25400">
          <a:noFill/>
        </a:ln>
      </c:spPr>
    </c:plotArea>
    <c:plotVisOnly val="1"/>
    <c:dispBlanksAs val="gap"/>
    <c:showDLblsOverMax val="0"/>
  </c:chart>
  <c:spPr>
    <a:solidFill>
      <a:srgbClr val="C0C0C0"/>
    </a:solidFill>
    <a:ln w="9525">
      <a:noFill/>
    </a:ln>
  </c:spPr>
  <c:txPr>
    <a:bodyPr/>
    <a:lstStyle/>
    <a:p>
      <a:pPr>
        <a:defRPr sz="1000" b="0" i="0" u="none" strike="noStrike" baseline="0">
          <a:solidFill>
            <a:srgbClr val="000000"/>
          </a:solidFill>
          <a:latin typeface="Arial"/>
          <a:ea typeface="Arial"/>
          <a:cs typeface="Arial"/>
        </a:defRPr>
      </a:pPr>
      <a:endParaRPr lang="de-DE"/>
    </a:p>
  </c:txPr>
  <c:printSettings>
    <c:headerFooter alignWithMargins="0">
      <c:oddHeader>&amp;B</c:oddHeader>
      <c:oddFooter>Page &amp;S</c:oddFooter>
    </c:headerFooter>
    <c:pageMargins b="0.984251969" l="0.78740157499999996" r="0.78740157499999996" t="0.984251969"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930253919152034"/>
          <c:y val="9.667693295920482E-2"/>
          <c:w val="0.85873095652640752"/>
          <c:h val="0.74552928650544836"/>
        </c:manualLayout>
      </c:layout>
      <c:lineChart>
        <c:grouping val="standard"/>
        <c:varyColors val="0"/>
        <c:ser>
          <c:idx val="0"/>
          <c:order val="0"/>
          <c:spPr>
            <a:ln w="12700">
              <a:solidFill>
                <a:srgbClr val="71706C"/>
              </a:solidFill>
              <a:prstDash val="solid"/>
            </a:ln>
          </c:spPr>
          <c:marker>
            <c:symbol val="circle"/>
            <c:size val="4"/>
            <c:spPr>
              <a:solidFill>
                <a:srgbClr val="015198"/>
              </a:solidFill>
              <a:ln>
                <a:solidFill>
                  <a:srgbClr val="71706C"/>
                </a:solidFill>
              </a:ln>
            </c:spPr>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B9D-48C1-9F87-37BB87D40976}"/>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B9D-48C1-9F87-37BB87D40976}"/>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B9D-48C1-9F87-37BB87D40976}"/>
                </c:ext>
              </c:extLst>
            </c:dLbl>
            <c:dLbl>
              <c:idx val="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B9D-48C1-9F87-37BB87D40976}"/>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B9D-48C1-9F87-37BB87D40976}"/>
                </c:ext>
              </c:extLst>
            </c:dLbl>
            <c:dLbl>
              <c:idx val="10"/>
              <c:layout>
                <c:manualLayout>
                  <c:x val="-3.5009021916752023E-2"/>
                  <c:y val="-4.447309434488445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B9D-48C1-9F87-37BB87D40976}"/>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7B9D-48C1-9F87-37BB87D40976}"/>
                </c:ext>
              </c:extLst>
            </c:dLbl>
            <c:dLbl>
              <c:idx val="1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B9D-48C1-9F87-37BB87D40976}"/>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7B9D-48C1-9F87-37BB87D40976}"/>
                </c:ext>
              </c:extLst>
            </c:dLbl>
            <c:dLbl>
              <c:idx val="1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7B9D-48C1-9F87-37BB87D40976}"/>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7B9D-48C1-9F87-37BB87D40976}"/>
                </c:ext>
              </c:extLst>
            </c:dLbl>
            <c:dLbl>
              <c:idx val="2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7B9D-48C1-9F87-37BB87D40976}"/>
                </c:ext>
              </c:extLst>
            </c:dLbl>
            <c:dLbl>
              <c:idx val="2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7B9D-48C1-9F87-37BB87D40976}"/>
                </c:ext>
              </c:extLst>
            </c:dLbl>
            <c:numFmt formatCode="#,##0.0" sourceLinked="0"/>
            <c:spPr>
              <a:noFill/>
              <a:ln>
                <a:noFill/>
              </a:ln>
              <a:effectLst/>
            </c:spPr>
            <c:txPr>
              <a:bodyPr/>
              <a:lstStyle/>
              <a:p>
                <a:pPr>
                  <a:defRPr sz="1000" b="0" i="0" u="none" strike="noStrike" baseline="0">
                    <a:solidFill>
                      <a:srgbClr val="000000"/>
                    </a:solidFill>
                    <a:latin typeface="Calibri"/>
                    <a:ea typeface="Calibri"/>
                    <a:cs typeface="Calibri"/>
                  </a:defRPr>
                </a:pPr>
                <a:endParaRPr lang="de-DE"/>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Berechnungen!$W$12:$W$36</c:f>
              <c:numCache>
                <c:formatCode>_(* #,##0.00_);_(* \(#,##0.00\);_(* "-"??_);_(@_)</c:formatCode>
                <c:ptCount val="25"/>
                <c:pt idx="0">
                  <c:v>16.45</c:v>
                </c:pt>
                <c:pt idx="1">
                  <c:v>16.779</c:v>
                </c:pt>
                <c:pt idx="2">
                  <c:v>17.11458</c:v>
                </c:pt>
                <c:pt idx="3">
                  <c:v>17.456871599999999</c:v>
                </c:pt>
                <c:pt idx="4">
                  <c:v>17.806009031999999</c:v>
                </c:pt>
                <c:pt idx="5">
                  <c:v>18.16212921264</c:v>
                </c:pt>
                <c:pt idx="6">
                  <c:v>18.525371796892802</c:v>
                </c:pt>
                <c:pt idx="7">
                  <c:v>18.895879232830652</c:v>
                </c:pt>
                <c:pt idx="8">
                  <c:v>19.27379681748727</c:v>
                </c:pt>
                <c:pt idx="9">
                  <c:v>19.659272753837012</c:v>
                </c:pt>
                <c:pt idx="10">
                  <c:v>20.052458208913755</c:v>
                </c:pt>
                <c:pt idx="11">
                  <c:v>20.453507373092023</c:v>
                </c:pt>
                <c:pt idx="12">
                  <c:v>20.86257752055387</c:v>
                </c:pt>
                <c:pt idx="13">
                  <c:v>21.279829070964944</c:v>
                </c:pt>
                <c:pt idx="14">
                  <c:v>21.705425652384246</c:v>
                </c:pt>
                <c:pt idx="15">
                  <c:v>22.139534165431925</c:v>
                </c:pt>
                <c:pt idx="16">
                  <c:v>22.582324848740569</c:v>
                </c:pt>
                <c:pt idx="17">
                  <c:v>23.033971345715379</c:v>
                </c:pt>
                <c:pt idx="18">
                  <c:v>23.494650772629683</c:v>
                </c:pt>
                <c:pt idx="19">
                  <c:v>23.964543788082281</c:v>
                </c:pt>
                <c:pt idx="20">
                  <c:v>24.44383466384393</c:v>
                </c:pt>
                <c:pt idx="21">
                  <c:v>24.932711357120805</c:v>
                </c:pt>
                <c:pt idx="22">
                  <c:v>25.431365584263222</c:v>
                </c:pt>
                <c:pt idx="23">
                  <c:v>25.939992895948482</c:v>
                </c:pt>
                <c:pt idx="24">
                  <c:v>26.458792753867449</c:v>
                </c:pt>
              </c:numCache>
            </c:numRef>
          </c:val>
          <c:smooth val="0"/>
          <c:extLst>
            <c:ext xmlns:c16="http://schemas.microsoft.com/office/drawing/2014/chart" uri="{C3380CC4-5D6E-409C-BE32-E72D297353CC}">
              <c16:uniqueId val="{0000000D-7B9D-48C1-9F87-37BB87D40976}"/>
            </c:ext>
          </c:extLst>
        </c:ser>
        <c:dLbls>
          <c:showLegendKey val="0"/>
          <c:showVal val="0"/>
          <c:showCatName val="0"/>
          <c:showSerName val="0"/>
          <c:showPercent val="0"/>
          <c:showBubbleSize val="0"/>
        </c:dLbls>
        <c:marker val="1"/>
        <c:smooth val="0"/>
        <c:axId val="144261120"/>
        <c:axId val="144263040"/>
      </c:lineChart>
      <c:catAx>
        <c:axId val="144261120"/>
        <c:scaling>
          <c:orientation val="minMax"/>
        </c:scaling>
        <c:delete val="0"/>
        <c:axPos val="b"/>
        <c:minorGridlines>
          <c:spPr>
            <a:ln w="3175">
              <a:solidFill>
                <a:srgbClr val="808080"/>
              </a:solidFill>
              <a:prstDash val="sysDash"/>
            </a:ln>
          </c:spPr>
        </c:minorGridlines>
        <c:title>
          <c:tx>
            <c:rich>
              <a:bodyPr/>
              <a:lstStyle/>
              <a:p>
                <a:pPr>
                  <a:defRPr sz="1000" b="1" i="0" u="none" strike="noStrike" baseline="0">
                    <a:solidFill>
                      <a:srgbClr val="000000"/>
                    </a:solidFill>
                    <a:latin typeface="Calibri"/>
                    <a:ea typeface="Calibri"/>
                    <a:cs typeface="Calibri"/>
                  </a:defRPr>
                </a:pPr>
                <a:r>
                  <a:rPr lang="de-AT"/>
                  <a:t>Jahre</a:t>
                </a:r>
              </a:p>
            </c:rich>
          </c:tx>
          <c:layout>
            <c:manualLayout>
              <c:xMode val="edge"/>
              <c:yMode val="edge"/>
              <c:x val="0.52074464918689278"/>
              <c:y val="0.9244728783902013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ysClr val="windowText" lastClr="000000"/>
                </a:solidFill>
                <a:latin typeface="Calibri"/>
                <a:ea typeface="Calibri"/>
                <a:cs typeface="Calibri"/>
              </a:defRPr>
            </a:pPr>
            <a:endParaRPr lang="de-DE"/>
          </a:p>
        </c:txPr>
        <c:crossAx val="144263040"/>
        <c:crosses val="autoZero"/>
        <c:auto val="1"/>
        <c:lblAlgn val="ctr"/>
        <c:lblOffset val="100"/>
        <c:tickLblSkip val="1"/>
        <c:tickMarkSkip val="2"/>
        <c:noMultiLvlLbl val="0"/>
      </c:catAx>
      <c:valAx>
        <c:axId val="144263040"/>
        <c:scaling>
          <c:orientation val="minMax"/>
        </c:scaling>
        <c:delete val="0"/>
        <c:axPos val="l"/>
        <c:majorGridlines>
          <c:spPr>
            <a:ln w="3175">
              <a:solidFill>
                <a:srgbClr val="808080"/>
              </a:solidFill>
              <a:prstDash val="sysDash"/>
            </a:ln>
          </c:spPr>
        </c:majorGridlines>
        <c:title>
          <c:tx>
            <c:rich>
              <a:bodyPr/>
              <a:lstStyle/>
              <a:p>
                <a:pPr>
                  <a:defRPr sz="1000" b="1" i="0" u="none" strike="noStrike" baseline="0">
                    <a:solidFill>
                      <a:srgbClr val="000000"/>
                    </a:solidFill>
                    <a:latin typeface="Calibri"/>
                    <a:ea typeface="Calibri"/>
                    <a:cs typeface="Calibri"/>
                  </a:defRPr>
                </a:pPr>
                <a:r>
                  <a:rPr lang="de-AT"/>
                  <a:t>€-Cent</a:t>
                </a:r>
              </a:p>
            </c:rich>
          </c:tx>
          <c:layout>
            <c:manualLayout>
              <c:xMode val="edge"/>
              <c:yMode val="edge"/>
              <c:x val="8.2797382285977154E-3"/>
              <c:y val="0.43109111361079866"/>
            </c:manualLayout>
          </c:layout>
          <c:overlay val="0"/>
          <c:spPr>
            <a:noFill/>
            <a:ln w="25400">
              <a:noFill/>
            </a:ln>
          </c:spPr>
        </c:title>
        <c:numFmt formatCode="#,##0.0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de-DE"/>
          </a:p>
        </c:txPr>
        <c:crossAx val="144261120"/>
        <c:crosses val="autoZero"/>
        <c:crossBetween val="between"/>
      </c:valAx>
      <c:spPr>
        <a:solidFill>
          <a:srgbClr val="FFFFFF"/>
        </a:solidFill>
        <a:ln w="25400">
          <a:noFill/>
        </a:ln>
      </c:spPr>
    </c:plotArea>
    <c:plotVisOnly val="1"/>
    <c:dispBlanksAs val="gap"/>
    <c:showDLblsOverMax val="0"/>
  </c:chart>
  <c:spPr>
    <a:solidFill>
      <a:srgbClr val="C0C0C0"/>
    </a:solidFill>
    <a:ln w="9525">
      <a:noFill/>
    </a:ln>
  </c:spPr>
  <c:txPr>
    <a:bodyPr/>
    <a:lstStyle/>
    <a:p>
      <a:pPr>
        <a:defRPr sz="95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Calibri"/>
                <a:ea typeface="Calibri"/>
                <a:cs typeface="Calibri"/>
              </a:defRPr>
            </a:pPr>
            <a:r>
              <a:rPr lang="de-AT"/>
              <a:t>Einspeisung/Eigenverbrauch</a:t>
            </a:r>
          </a:p>
        </c:rich>
      </c:tx>
      <c:layout>
        <c:manualLayout>
          <c:xMode val="edge"/>
          <c:yMode val="edge"/>
          <c:x val="0.10757223248328526"/>
          <c:y val="1.5919196870819163E-2"/>
        </c:manualLayout>
      </c:layout>
      <c:overlay val="0"/>
    </c:title>
    <c:autoTitleDeleted val="0"/>
    <c:plotArea>
      <c:layout>
        <c:manualLayout>
          <c:layoutTarget val="inner"/>
          <c:xMode val="edge"/>
          <c:yMode val="edge"/>
          <c:x val="0.2838093720433984"/>
          <c:y val="0.11525025616576327"/>
          <c:w val="0.39264691913510819"/>
          <c:h val="0.52849487111161364"/>
        </c:manualLayout>
      </c:layout>
      <c:pieChart>
        <c:varyColors val="1"/>
        <c:ser>
          <c:idx val="0"/>
          <c:order val="0"/>
          <c:tx>
            <c:v>Einspeisung</c:v>
          </c:tx>
          <c:spPr>
            <a:solidFill>
              <a:schemeClr val="tx1">
                <a:lumMod val="75000"/>
                <a:lumOff val="25000"/>
              </a:schemeClr>
            </a:solidFill>
            <a:ln w="9525">
              <a:noFill/>
            </a:ln>
          </c:spPr>
          <c:dPt>
            <c:idx val="0"/>
            <c:bubble3D val="0"/>
            <c:spPr>
              <a:solidFill>
                <a:srgbClr val="015198"/>
              </a:solidFill>
              <a:ln w="9525">
                <a:noFill/>
              </a:ln>
            </c:spPr>
            <c:extLst>
              <c:ext xmlns:c16="http://schemas.microsoft.com/office/drawing/2014/chart" uri="{C3380CC4-5D6E-409C-BE32-E72D297353CC}">
                <c16:uniqueId val="{00000001-3869-4967-9419-9E645BE49974}"/>
              </c:ext>
            </c:extLst>
          </c:dPt>
          <c:dPt>
            <c:idx val="1"/>
            <c:bubble3D val="0"/>
            <c:explosion val="9"/>
            <c:spPr>
              <a:solidFill>
                <a:srgbClr val="71706C"/>
              </a:solidFill>
              <a:ln w="9525">
                <a:noFill/>
              </a:ln>
            </c:spPr>
            <c:extLst>
              <c:ext xmlns:c16="http://schemas.microsoft.com/office/drawing/2014/chart" uri="{C3380CC4-5D6E-409C-BE32-E72D297353CC}">
                <c16:uniqueId val="{00000003-3869-4967-9419-9E645BE49974}"/>
              </c:ext>
            </c:extLst>
          </c:dPt>
          <c:dLbls>
            <c:spPr>
              <a:noFill/>
              <a:ln>
                <a:noFill/>
              </a:ln>
              <a:effectLst/>
            </c:spPr>
            <c:txPr>
              <a:bodyPr/>
              <a:lstStyle/>
              <a:p>
                <a:pPr>
                  <a:defRPr sz="1000" b="0" i="0" u="none" strike="noStrike" baseline="0">
                    <a:solidFill>
                      <a:srgbClr val="000000"/>
                    </a:solidFill>
                    <a:latin typeface="Calibri"/>
                    <a:ea typeface="Calibri"/>
                    <a:cs typeface="Calibri"/>
                  </a:defRPr>
                </a:pPr>
                <a:endParaRPr lang="de-DE"/>
              </a:p>
            </c:txPr>
            <c:dLblPos val="outEnd"/>
            <c:showLegendKey val="0"/>
            <c:showVal val="0"/>
            <c:showCatName val="0"/>
            <c:showSerName val="0"/>
            <c:showPercent val="1"/>
            <c:showBubbleSize val="0"/>
            <c:showLeaderLines val="1"/>
            <c:extLst>
              <c:ext xmlns:c15="http://schemas.microsoft.com/office/drawing/2012/chart" uri="{CE6537A1-D6FC-4f65-9D91-7224C49458BB}"/>
            </c:extLst>
          </c:dLbls>
          <c:cat>
            <c:numRef>
              <c:f>Eingabe!$H$75</c:f>
              <c:numCache>
                <c:formatCode>General</c:formatCode>
                <c:ptCount val="1"/>
                <c:pt idx="0">
                  <c:v>45</c:v>
                </c:pt>
              </c:numCache>
            </c:numRef>
          </c:cat>
          <c:val>
            <c:numRef>
              <c:f>Eingabe!$H$74:$H$75</c:f>
              <c:numCache>
                <c:formatCode>General</c:formatCode>
                <c:ptCount val="2"/>
                <c:pt idx="0">
                  <c:v>55</c:v>
                </c:pt>
                <c:pt idx="1">
                  <c:v>45</c:v>
                </c:pt>
              </c:numCache>
            </c:numRef>
          </c:val>
          <c:extLst>
            <c:ext xmlns:c16="http://schemas.microsoft.com/office/drawing/2014/chart" uri="{C3380CC4-5D6E-409C-BE32-E72D297353CC}">
              <c16:uniqueId val="{00000004-3869-4967-9419-9E645BE49974}"/>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noFill/>
    <a:ln>
      <a:noFill/>
    </a:ln>
  </c:spPr>
  <c:txPr>
    <a:bodyPr/>
    <a:lstStyle/>
    <a:p>
      <a:pPr>
        <a:defRPr sz="1000" b="0" i="0" u="none" strike="noStrike" baseline="0">
          <a:solidFill>
            <a:srgbClr val="000000"/>
          </a:solidFill>
          <a:latin typeface="Calibri"/>
          <a:ea typeface="Calibri"/>
          <a:cs typeface="Calibri"/>
        </a:defRPr>
      </a:pPr>
      <a:endParaRPr lang="de-DE"/>
    </a:p>
  </c:txPr>
  <c:printSettings>
    <c:headerFooter/>
    <c:pageMargins b="0.78740157499999996" l="0.7" r="0.7" t="0.78740157499999996"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Calibri"/>
                <a:ea typeface="Calibri"/>
                <a:cs typeface="Calibri"/>
              </a:defRPr>
            </a:pPr>
            <a:r>
              <a:rPr lang="de-AT"/>
              <a:t>Theoretischer Tarif durch Eigenverbrauch</a:t>
            </a:r>
          </a:p>
        </c:rich>
      </c:tx>
      <c:layout>
        <c:manualLayout>
          <c:xMode val="edge"/>
          <c:yMode val="edge"/>
          <c:x val="6.1514639437193638E-2"/>
          <c:y val="3.096041566232792E-2"/>
        </c:manualLayout>
      </c:layout>
      <c:overlay val="0"/>
    </c:title>
    <c:autoTitleDeleted val="0"/>
    <c:plotArea>
      <c:layout>
        <c:manualLayout>
          <c:layoutTarget val="inner"/>
          <c:xMode val="edge"/>
          <c:yMode val="edge"/>
          <c:x val="5.8284351662979253E-2"/>
          <c:y val="0.16474705001537945"/>
          <c:w val="0.86524382466527983"/>
          <c:h val="0.44078947368421051"/>
        </c:manualLayout>
      </c:layout>
      <c:barChart>
        <c:barDir val="bar"/>
        <c:grouping val="clustered"/>
        <c:varyColors val="0"/>
        <c:ser>
          <c:idx val="0"/>
          <c:order val="0"/>
          <c:tx>
            <c:v>Strompreis der aktuell bezogen wird</c:v>
          </c:tx>
          <c:spPr>
            <a:solidFill>
              <a:srgbClr val="015198"/>
            </a:solidFill>
            <a:ln>
              <a:noFill/>
            </a:ln>
          </c:spPr>
          <c:invertIfNegative val="0"/>
          <c:dLbls>
            <c:spPr>
              <a:noFill/>
              <a:ln>
                <a:noFill/>
              </a:ln>
              <a:effectLst/>
            </c:spPr>
            <c:txPr>
              <a:bodyPr/>
              <a:lstStyle/>
              <a:p>
                <a:pPr>
                  <a:defRPr sz="1000" b="0" i="0" u="none" strike="noStrike" baseline="0">
                    <a:solidFill>
                      <a:schemeClr val="bg1"/>
                    </a:solidFill>
                    <a:latin typeface="Calibri"/>
                    <a:ea typeface="Calibri"/>
                    <a:cs typeface="Calibri"/>
                  </a:defRPr>
                </a:pPr>
                <a:endParaRPr lang="de-D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Eingabe!$I$77</c:f>
              <c:strCache>
                <c:ptCount val="1"/>
                <c:pt idx="0">
                  <c:v>[€/kWh]</c:v>
                </c:pt>
              </c:strCache>
            </c:strRef>
          </c:cat>
          <c:val>
            <c:numRef>
              <c:f>Eingabe!$H$77</c:f>
              <c:numCache>
                <c:formatCode>0.000</c:formatCode>
                <c:ptCount val="1"/>
                <c:pt idx="0">
                  <c:v>0.25</c:v>
                </c:pt>
              </c:numCache>
            </c:numRef>
          </c:val>
          <c:extLst>
            <c:ext xmlns:c16="http://schemas.microsoft.com/office/drawing/2014/chart" uri="{C3380CC4-5D6E-409C-BE32-E72D297353CC}">
              <c16:uniqueId val="{00000000-C726-442B-8ABD-C90D1734F36C}"/>
            </c:ext>
          </c:extLst>
        </c:ser>
        <c:ser>
          <c:idx val="2"/>
          <c:order val="1"/>
          <c:tx>
            <c:v>Tats</c:v>
          </c:tx>
          <c:spPr>
            <a:noFill/>
            <a:ln>
              <a:noFill/>
            </a:ln>
            <a:effectLst>
              <a:outerShdw dist="38100" algn="l" rotWithShape="0">
                <a:schemeClr val="tx1"/>
              </a:outerShdw>
            </a:effectLst>
          </c:spPr>
          <c:invertIfNegative val="0"/>
          <c:dLbls>
            <c:dLbl>
              <c:idx val="0"/>
              <c:layout>
                <c:manualLayout>
                  <c:x val="-4.8733399286506579E-2"/>
                  <c:y val="-0.17404532030505895"/>
                </c:manualLayout>
              </c:layout>
              <c:spPr/>
              <c:txPr>
                <a:bodyPr/>
                <a:lstStyle/>
                <a:p>
                  <a:pPr>
                    <a:defRPr sz="1000" b="1" i="0" u="none" strike="noStrike" baseline="0">
                      <a:solidFill>
                        <a:srgbClr val="000000"/>
                      </a:solidFill>
                      <a:latin typeface="Calibri"/>
                      <a:ea typeface="Calibri"/>
                      <a:cs typeface="Calibri"/>
                    </a:defRPr>
                  </a:pPr>
                  <a:endParaRPr lang="de-D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726-442B-8ABD-C90D1734F36C}"/>
                </c:ext>
              </c:extLst>
            </c:dLbl>
            <c:spPr>
              <a:noFill/>
              <a:ln>
                <a:noFill/>
              </a:ln>
              <a:effectLst/>
            </c:spPr>
            <c:txPr>
              <a:bodyPr/>
              <a:lstStyle/>
              <a:p>
                <a:pPr>
                  <a:defRPr sz="1000" b="0" i="0" u="none" strike="noStrike" baseline="0">
                    <a:solidFill>
                      <a:srgbClr val="000000"/>
                    </a:solidFill>
                    <a:latin typeface="Calibri"/>
                    <a:ea typeface="Calibri"/>
                    <a:cs typeface="Calibri"/>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trendline>
            <c:trendlineType val="linear"/>
            <c:dispRSqr val="0"/>
            <c:dispEq val="0"/>
          </c:trendline>
          <c:trendline>
            <c:trendlineType val="linear"/>
            <c:dispRSqr val="0"/>
            <c:dispEq val="0"/>
          </c:trendline>
          <c:val>
            <c:numRef>
              <c:f>Eingabe!$H$80</c:f>
              <c:numCache>
                <c:formatCode>0.0000</c:formatCode>
                <c:ptCount val="1"/>
                <c:pt idx="0">
                  <c:v>0.16450000000000001</c:v>
                </c:pt>
              </c:numCache>
            </c:numRef>
          </c:val>
          <c:extLst>
            <c:ext xmlns:c16="http://schemas.microsoft.com/office/drawing/2014/chart" uri="{C3380CC4-5D6E-409C-BE32-E72D297353CC}">
              <c16:uniqueId val="{00000002-C726-442B-8ABD-C90D1734F36C}"/>
            </c:ext>
          </c:extLst>
        </c:ser>
        <c:ser>
          <c:idx val="1"/>
          <c:order val="2"/>
          <c:tx>
            <c:v>Vergütung bei Überschusseinspeisung</c:v>
          </c:tx>
          <c:spPr>
            <a:solidFill>
              <a:srgbClr val="71706C"/>
            </a:solidFill>
            <a:ln>
              <a:noFill/>
            </a:ln>
          </c:spPr>
          <c:invertIfNegative val="0"/>
          <c:dLbls>
            <c:spPr>
              <a:noFill/>
              <a:ln>
                <a:noFill/>
              </a:ln>
              <a:effectLst/>
            </c:spPr>
            <c:txPr>
              <a:bodyPr/>
              <a:lstStyle/>
              <a:p>
                <a:pPr>
                  <a:defRPr sz="1000" b="0" i="0" u="none" strike="noStrike" baseline="0">
                    <a:solidFill>
                      <a:srgbClr val="FFFFFF"/>
                    </a:solidFill>
                    <a:latin typeface="Calibri"/>
                    <a:ea typeface="Calibri"/>
                    <a:cs typeface="Calibri"/>
                  </a:defRPr>
                </a:pPr>
                <a:endParaRPr lang="de-D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Eingabe!$H$78</c:f>
              <c:numCache>
                <c:formatCode>0.000</c:formatCode>
                <c:ptCount val="1"/>
                <c:pt idx="0">
                  <c:v>0.06</c:v>
                </c:pt>
              </c:numCache>
            </c:numRef>
          </c:val>
          <c:extLst>
            <c:ext xmlns:c16="http://schemas.microsoft.com/office/drawing/2014/chart" uri="{C3380CC4-5D6E-409C-BE32-E72D297353CC}">
              <c16:uniqueId val="{00000003-C726-442B-8ABD-C90D1734F36C}"/>
            </c:ext>
          </c:extLst>
        </c:ser>
        <c:dLbls>
          <c:showLegendKey val="0"/>
          <c:showVal val="0"/>
          <c:showCatName val="0"/>
          <c:showSerName val="0"/>
          <c:showPercent val="0"/>
          <c:showBubbleSize val="0"/>
        </c:dLbls>
        <c:gapWidth val="150"/>
        <c:overlap val="50"/>
        <c:axId val="146653184"/>
        <c:axId val="146654720"/>
      </c:barChart>
      <c:catAx>
        <c:axId val="146653184"/>
        <c:scaling>
          <c:orientation val="minMax"/>
        </c:scaling>
        <c:delete val="1"/>
        <c:axPos val="l"/>
        <c:numFmt formatCode="General" sourceLinked="0"/>
        <c:majorTickMark val="out"/>
        <c:minorTickMark val="none"/>
        <c:tickLblPos val="nextTo"/>
        <c:crossAx val="146654720"/>
        <c:crosses val="autoZero"/>
        <c:auto val="1"/>
        <c:lblAlgn val="ctr"/>
        <c:lblOffset val="100"/>
        <c:noMultiLvlLbl val="0"/>
      </c:catAx>
      <c:valAx>
        <c:axId val="146654720"/>
        <c:scaling>
          <c:orientation val="minMax"/>
        </c:scaling>
        <c:delete val="0"/>
        <c:axPos val="b"/>
        <c:minorGridlines>
          <c:spPr>
            <a:ln w="3175">
              <a:solidFill>
                <a:schemeClr val="bg1">
                  <a:lumMod val="75000"/>
                </a:schemeClr>
              </a:solidFill>
              <a:prstDash val="sysDash"/>
            </a:ln>
          </c:spPr>
        </c:minorGridlines>
        <c:title>
          <c:tx>
            <c:rich>
              <a:bodyPr/>
              <a:lstStyle/>
              <a:p>
                <a:pPr>
                  <a:defRPr sz="1000" b="1" i="0" u="none" strike="noStrike" baseline="0">
                    <a:solidFill>
                      <a:srgbClr val="000000"/>
                    </a:solidFill>
                    <a:latin typeface="Calibri"/>
                    <a:ea typeface="Calibri"/>
                    <a:cs typeface="Calibri"/>
                  </a:defRPr>
                </a:pPr>
                <a:r>
                  <a:rPr lang="de-AT"/>
                  <a:t>Euro/kWh</a:t>
                </a:r>
              </a:p>
            </c:rich>
          </c:tx>
          <c:layout>
            <c:manualLayout>
              <c:xMode val="edge"/>
              <c:yMode val="edge"/>
              <c:x val="0.45575426359376314"/>
              <c:y val="0.70126434195725529"/>
            </c:manualLayout>
          </c:layout>
          <c:overlay val="0"/>
        </c:title>
        <c:numFmt formatCode="0.000" sourceLinked="1"/>
        <c:majorTickMark val="out"/>
        <c:minorTickMark val="none"/>
        <c:tickLblPos val="nextTo"/>
        <c:spPr>
          <a:ln>
            <a:solidFill>
              <a:schemeClr val="tx1"/>
            </a:solidFill>
          </a:ln>
        </c:spPr>
        <c:txPr>
          <a:bodyPr rot="0" vert="horz"/>
          <a:lstStyle/>
          <a:p>
            <a:pPr>
              <a:defRPr sz="1000" b="0" i="0" u="none" strike="noStrike" baseline="0">
                <a:solidFill>
                  <a:srgbClr val="000000"/>
                </a:solidFill>
                <a:latin typeface="Calibri"/>
                <a:ea typeface="Calibri"/>
                <a:cs typeface="Calibri"/>
              </a:defRPr>
            </a:pPr>
            <a:endParaRPr lang="de-DE"/>
          </a:p>
        </c:txPr>
        <c:crossAx val="146653184"/>
        <c:crosses val="autoZero"/>
        <c:crossBetween val="between"/>
      </c:valAx>
      <c:spPr>
        <a:ln>
          <a:noFill/>
          <a:prstDash val="sysDash"/>
        </a:ln>
      </c:spPr>
    </c:plotArea>
    <c:legend>
      <c:legendPos val="b"/>
      <c:legendEntry>
        <c:idx val="1"/>
        <c:delete val="1"/>
      </c:legendEntry>
      <c:legendEntry>
        <c:idx val="3"/>
        <c:delete val="1"/>
      </c:legendEntry>
      <c:legendEntry>
        <c:idx val="4"/>
        <c:delete val="1"/>
      </c:legendEntry>
      <c:layout>
        <c:manualLayout>
          <c:xMode val="edge"/>
          <c:yMode val="edge"/>
          <c:x val="7.1951485516365252E-2"/>
          <c:y val="0.79131394289999468"/>
          <c:w val="0.70356619806085885"/>
          <c:h val="0.19526530612244897"/>
        </c:manualLayout>
      </c:layout>
      <c:overlay val="0"/>
      <c:txPr>
        <a:bodyPr/>
        <a:lstStyle/>
        <a:p>
          <a:pPr>
            <a:defRPr sz="920" b="0" i="0" u="none" strike="noStrike" baseline="0">
              <a:solidFill>
                <a:srgbClr val="000000"/>
              </a:solidFill>
              <a:latin typeface="Calibri"/>
              <a:ea typeface="Calibri"/>
              <a:cs typeface="Calibri"/>
            </a:defRPr>
          </a:pPr>
          <a:endParaRPr lang="de-DE"/>
        </a:p>
      </c:txPr>
    </c:legend>
    <c:plotVisOnly val="1"/>
    <c:dispBlanksAs val="gap"/>
    <c:showDLblsOverMax val="0"/>
  </c:chart>
  <c:spPr>
    <a:solidFill>
      <a:schemeClr val="bg1">
        <a:lumMod val="75000"/>
      </a:schemeClr>
    </a:solidFill>
    <a:ln>
      <a:noFill/>
    </a:ln>
  </c:spPr>
  <c:txPr>
    <a:bodyPr/>
    <a:lstStyle/>
    <a:p>
      <a:pPr>
        <a:defRPr sz="1000" b="0" i="0" u="none" strike="noStrike" baseline="0">
          <a:solidFill>
            <a:srgbClr val="000000"/>
          </a:solidFill>
          <a:latin typeface="Calibri"/>
          <a:ea typeface="Calibri"/>
          <a:cs typeface="Calibri"/>
        </a:defRPr>
      </a:pPr>
      <a:endParaRPr lang="de-DE"/>
    </a:p>
  </c:txPr>
  <c:printSettings>
    <c:headerFooter/>
    <c:pageMargins b="0.78740157499999996" l="0.7" r="0.7" t="0.78740157499999996"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089382133750299"/>
          <c:y val="0.12463902094573466"/>
          <c:w val="0.86903849500288033"/>
          <c:h val="0.68130431648649648"/>
        </c:manualLayout>
      </c:layout>
      <c:barChart>
        <c:barDir val="col"/>
        <c:grouping val="clustered"/>
        <c:varyColors val="0"/>
        <c:ser>
          <c:idx val="0"/>
          <c:order val="0"/>
          <c:tx>
            <c:strRef>
              <c:f>Berechnungen!$K$9:$K$10</c:f>
              <c:strCache>
                <c:ptCount val="2"/>
                <c:pt idx="0">
                  <c:v>Barwerte</c:v>
                </c:pt>
                <c:pt idx="1">
                  <c:v>[€]</c:v>
                </c:pt>
              </c:strCache>
            </c:strRef>
          </c:tx>
          <c:spPr>
            <a:solidFill>
              <a:srgbClr val="015198"/>
            </a:solidFill>
            <a:ln>
              <a:noFill/>
            </a:ln>
          </c:spPr>
          <c:invertIfNegative val="1"/>
          <c:val>
            <c:numRef>
              <c:f>Berechnungen!$K$12:$K$36</c:f>
              <c:numCache>
                <c:formatCode>#,##0</c:formatCode>
                <c:ptCount val="25"/>
                <c:pt idx="0">
                  <c:v>924.53777253393696</c:v>
                </c:pt>
                <c:pt idx="1">
                  <c:v>901.41238068533119</c:v>
                </c:pt>
                <c:pt idx="2">
                  <c:v>878.84454707877012</c:v>
                </c:pt>
                <c:pt idx="3">
                  <c:v>856.82082886341129</c:v>
                </c:pt>
                <c:pt idx="4">
                  <c:v>835.32810729848063</c:v>
                </c:pt>
                <c:pt idx="5">
                  <c:v>814.35357993890432</c:v>
                </c:pt>
                <c:pt idx="6">
                  <c:v>793.88475300935238</c:v>
                </c:pt>
                <c:pt idx="7">
                  <c:v>773.90943396214254</c:v>
                </c:pt>
                <c:pt idx="8">
                  <c:v>754.41572421457897</c:v>
                </c:pt>
                <c:pt idx="9">
                  <c:v>735.39201206138807</c:v>
                </c:pt>
                <c:pt idx="10">
                  <c:v>716.82696575804482</c:v>
                </c:pt>
                <c:pt idx="11">
                  <c:v>698.70952677085506</c:v>
                </c:pt>
                <c:pt idx="12">
                  <c:v>-1420.9803982815865</c:v>
                </c:pt>
                <c:pt idx="13">
                  <c:v>663.77456330010943</c:v>
                </c:pt>
                <c:pt idx="14">
                  <c:v>646.93622930903598</c:v>
                </c:pt>
                <c:pt idx="15">
                  <c:v>630.503871223602</c:v>
                </c:pt>
                <c:pt idx="16">
                  <c:v>614.4677008761638</c:v>
                </c:pt>
                <c:pt idx="17">
                  <c:v>598.81816609393354</c:v>
                </c:pt>
                <c:pt idx="18">
                  <c:v>583.54594500909366</c:v>
                </c:pt>
                <c:pt idx="19">
                  <c:v>568.64194050609262</c:v>
                </c:pt>
                <c:pt idx="20">
                  <c:v>554.09727480281936</c:v>
                </c:pt>
                <c:pt idx="21">
                  <c:v>539.90328416242653</c:v>
                </c:pt>
                <c:pt idx="22">
                  <c:v>526.05151373265164</c:v>
                </c:pt>
                <c:pt idx="23">
                  <c:v>512.53371250956457</c:v>
                </c:pt>
                <c:pt idx="24">
                  <c:v>499.34182842274015</c:v>
                </c:pt>
              </c:numCache>
            </c:numRef>
          </c:val>
          <c:extLst>
            <c:ext xmlns:c14="http://schemas.microsoft.com/office/drawing/2007/8/2/chart" uri="{6F2FDCE9-48DA-4B69-8628-5D25D57E5C99}">
              <c14:invertSolidFillFmt>
                <c14:spPr xmlns:c14="http://schemas.microsoft.com/office/drawing/2007/8/2/chart">
                  <a:solidFill>
                    <a:srgbClr val="71706C"/>
                  </a:solidFill>
                  <a:ln>
                    <a:noFill/>
                  </a:ln>
                </c14:spPr>
              </c14:invertSolidFillFmt>
            </c:ext>
            <c:ext xmlns:c16="http://schemas.microsoft.com/office/drawing/2014/chart" uri="{C3380CC4-5D6E-409C-BE32-E72D297353CC}">
              <c16:uniqueId val="{00000000-DE0B-41A7-A755-FA69F160C972}"/>
            </c:ext>
          </c:extLst>
        </c:ser>
        <c:dLbls>
          <c:showLegendKey val="0"/>
          <c:showVal val="0"/>
          <c:showCatName val="0"/>
          <c:showSerName val="0"/>
          <c:showPercent val="0"/>
          <c:showBubbleSize val="0"/>
        </c:dLbls>
        <c:gapWidth val="125"/>
        <c:axId val="148230528"/>
        <c:axId val="148232448"/>
      </c:barChart>
      <c:lineChart>
        <c:grouping val="standard"/>
        <c:varyColors val="0"/>
        <c:ser>
          <c:idx val="1"/>
          <c:order val="1"/>
          <c:spPr>
            <a:ln w="12700">
              <a:solidFill>
                <a:srgbClr val="71706C"/>
              </a:solidFill>
            </a:ln>
          </c:spPr>
          <c:marker>
            <c:symbol val="none"/>
          </c:marker>
          <c:val>
            <c:numRef>
              <c:f>Berechnungen!$K$12:$K$36</c:f>
              <c:numCache>
                <c:formatCode>#,##0</c:formatCode>
                <c:ptCount val="25"/>
                <c:pt idx="0">
                  <c:v>924.53777253393696</c:v>
                </c:pt>
                <c:pt idx="1">
                  <c:v>901.41238068533119</c:v>
                </c:pt>
                <c:pt idx="2">
                  <c:v>878.84454707877012</c:v>
                </c:pt>
                <c:pt idx="3">
                  <c:v>856.82082886341129</c:v>
                </c:pt>
                <c:pt idx="4">
                  <c:v>835.32810729848063</c:v>
                </c:pt>
                <c:pt idx="5">
                  <c:v>814.35357993890432</c:v>
                </c:pt>
                <c:pt idx="6">
                  <c:v>793.88475300935238</c:v>
                </c:pt>
                <c:pt idx="7">
                  <c:v>773.90943396214254</c:v>
                </c:pt>
                <c:pt idx="8">
                  <c:v>754.41572421457897</c:v>
                </c:pt>
                <c:pt idx="9">
                  <c:v>735.39201206138807</c:v>
                </c:pt>
                <c:pt idx="10">
                  <c:v>716.82696575804482</c:v>
                </c:pt>
                <c:pt idx="11">
                  <c:v>698.70952677085506</c:v>
                </c:pt>
                <c:pt idx="12">
                  <c:v>-1420.9803982815865</c:v>
                </c:pt>
                <c:pt idx="13">
                  <c:v>663.77456330010943</c:v>
                </c:pt>
                <c:pt idx="14">
                  <c:v>646.93622930903598</c:v>
                </c:pt>
                <c:pt idx="15">
                  <c:v>630.503871223602</c:v>
                </c:pt>
                <c:pt idx="16">
                  <c:v>614.4677008761638</c:v>
                </c:pt>
                <c:pt idx="17">
                  <c:v>598.81816609393354</c:v>
                </c:pt>
                <c:pt idx="18">
                  <c:v>583.54594500909366</c:v>
                </c:pt>
                <c:pt idx="19">
                  <c:v>568.64194050609262</c:v>
                </c:pt>
                <c:pt idx="20">
                  <c:v>554.09727480281936</c:v>
                </c:pt>
                <c:pt idx="21">
                  <c:v>539.90328416242653</c:v>
                </c:pt>
                <c:pt idx="22">
                  <c:v>526.05151373265164</c:v>
                </c:pt>
                <c:pt idx="23">
                  <c:v>512.53371250956457</c:v>
                </c:pt>
                <c:pt idx="24">
                  <c:v>499.34182842274015</c:v>
                </c:pt>
              </c:numCache>
            </c:numRef>
          </c:val>
          <c:smooth val="0"/>
          <c:extLst>
            <c:ext xmlns:c16="http://schemas.microsoft.com/office/drawing/2014/chart" uri="{C3380CC4-5D6E-409C-BE32-E72D297353CC}">
              <c16:uniqueId val="{00000001-DE0B-41A7-A755-FA69F160C972}"/>
            </c:ext>
          </c:extLst>
        </c:ser>
        <c:dLbls>
          <c:showLegendKey val="0"/>
          <c:showVal val="0"/>
          <c:showCatName val="0"/>
          <c:showSerName val="0"/>
          <c:showPercent val="0"/>
          <c:showBubbleSize val="0"/>
        </c:dLbls>
        <c:marker val="1"/>
        <c:smooth val="0"/>
        <c:axId val="148230528"/>
        <c:axId val="148232448"/>
      </c:lineChart>
      <c:catAx>
        <c:axId val="148230528"/>
        <c:scaling>
          <c:orientation val="minMax"/>
        </c:scaling>
        <c:delete val="0"/>
        <c:axPos val="b"/>
        <c:majorGridlines>
          <c:spPr>
            <a:ln w="3175">
              <a:prstDash val="sysDash"/>
            </a:ln>
          </c:spPr>
        </c:majorGridlines>
        <c:title>
          <c:tx>
            <c:rich>
              <a:bodyPr/>
              <a:lstStyle/>
              <a:p>
                <a:pPr>
                  <a:defRPr sz="1000" b="1" i="0" u="none" strike="noStrike" baseline="0">
                    <a:solidFill>
                      <a:srgbClr val="000000"/>
                    </a:solidFill>
                    <a:latin typeface="Calibri"/>
                    <a:ea typeface="Calibri"/>
                    <a:cs typeface="Calibri"/>
                  </a:defRPr>
                </a:pPr>
                <a:r>
                  <a:rPr lang="de-AT"/>
                  <a:t>Jahre</a:t>
                </a:r>
              </a:p>
            </c:rich>
          </c:tx>
          <c:layout>
            <c:manualLayout>
              <c:xMode val="edge"/>
              <c:yMode val="edge"/>
              <c:x val="0.50287071046074527"/>
              <c:y val="0.92142145153204158"/>
            </c:manualLayout>
          </c:layout>
          <c:overlay val="0"/>
        </c:title>
        <c:numFmt formatCode="General" sourceLinked="1"/>
        <c:majorTickMark val="out"/>
        <c:minorTickMark val="none"/>
        <c:tickLblPos val="low"/>
        <c:spPr>
          <a:ln>
            <a:solidFill>
              <a:schemeClr val="tx1"/>
            </a:solidFill>
            <a:prstDash val="solid"/>
          </a:ln>
        </c:spPr>
        <c:txPr>
          <a:bodyPr rot="0" vert="horz"/>
          <a:lstStyle/>
          <a:p>
            <a:pPr>
              <a:defRPr sz="1000" b="0" i="0" u="none" strike="noStrike" baseline="0">
                <a:solidFill>
                  <a:srgbClr val="000000"/>
                </a:solidFill>
                <a:latin typeface="Calibri"/>
                <a:ea typeface="Calibri"/>
                <a:cs typeface="Calibri"/>
              </a:defRPr>
            </a:pPr>
            <a:endParaRPr lang="de-DE"/>
          </a:p>
        </c:txPr>
        <c:crossAx val="148232448"/>
        <c:crosses val="autoZero"/>
        <c:auto val="1"/>
        <c:lblAlgn val="ctr"/>
        <c:lblOffset val="100"/>
        <c:noMultiLvlLbl val="0"/>
      </c:catAx>
      <c:valAx>
        <c:axId val="148232448"/>
        <c:scaling>
          <c:orientation val="minMax"/>
        </c:scaling>
        <c:delete val="0"/>
        <c:axPos val="l"/>
        <c:majorGridlines>
          <c:spPr>
            <a:ln w="3175">
              <a:prstDash val="sysDash"/>
            </a:ln>
          </c:spPr>
        </c:majorGridlines>
        <c:title>
          <c:tx>
            <c:rich>
              <a:bodyPr/>
              <a:lstStyle/>
              <a:p>
                <a:pPr>
                  <a:defRPr sz="1000" b="1" i="0" u="none" strike="noStrike" baseline="0">
                    <a:solidFill>
                      <a:srgbClr val="000000"/>
                    </a:solidFill>
                    <a:latin typeface="Calibri"/>
                    <a:ea typeface="Calibri"/>
                    <a:cs typeface="Calibri"/>
                  </a:defRPr>
                </a:pPr>
                <a:r>
                  <a:rPr lang="de-AT"/>
                  <a:t>Euro</a:t>
                </a:r>
              </a:p>
            </c:rich>
          </c:tx>
          <c:layout>
            <c:manualLayout>
              <c:xMode val="edge"/>
              <c:yMode val="edge"/>
              <c:x val="8.6211280221864964E-5"/>
              <c:y val="0.40104790272002516"/>
            </c:manualLayout>
          </c:layout>
          <c:overlay val="0"/>
        </c:title>
        <c:numFmt formatCode="#,##0" sourceLinked="1"/>
        <c:majorTickMark val="out"/>
        <c:minorTickMark val="none"/>
        <c:tickLblPos val="nextTo"/>
        <c:spPr>
          <a:ln>
            <a:solidFill>
              <a:schemeClr val="tx1"/>
            </a:solidFill>
          </a:ln>
        </c:spPr>
        <c:txPr>
          <a:bodyPr rot="0" vert="horz"/>
          <a:lstStyle/>
          <a:p>
            <a:pPr>
              <a:defRPr sz="1000" b="0" i="0" u="none" strike="noStrike" baseline="0">
                <a:solidFill>
                  <a:srgbClr val="000000"/>
                </a:solidFill>
                <a:latin typeface="Calibri"/>
                <a:ea typeface="Calibri"/>
                <a:cs typeface="Calibri"/>
              </a:defRPr>
            </a:pPr>
            <a:endParaRPr lang="de-DE"/>
          </a:p>
        </c:txPr>
        <c:crossAx val="148230528"/>
        <c:crosses val="autoZero"/>
        <c:crossBetween val="between"/>
      </c:valAx>
      <c:spPr>
        <a:ln w="6350">
          <a:noFill/>
        </a:ln>
        <a:effectLst/>
      </c:spPr>
    </c:plotArea>
    <c:plotVisOnly val="1"/>
    <c:dispBlanksAs val="gap"/>
    <c:showDLblsOverMax val="0"/>
  </c:chart>
  <c:spPr>
    <a:solidFill>
      <a:schemeClr val="bg1">
        <a:lumMod val="75000"/>
      </a:schemeClr>
    </a:solidFill>
    <a:ln>
      <a:noFill/>
    </a:ln>
  </c:spPr>
  <c:txPr>
    <a:bodyPr/>
    <a:lstStyle/>
    <a:p>
      <a:pPr>
        <a:defRPr sz="1000" b="0" i="0" u="none" strike="noStrike" baseline="0">
          <a:solidFill>
            <a:srgbClr val="000000"/>
          </a:solidFill>
          <a:latin typeface="Calibri"/>
          <a:ea typeface="Calibri"/>
          <a:cs typeface="Calibri"/>
        </a:defRPr>
      </a:pPr>
      <a:endParaRPr lang="de-DE"/>
    </a:p>
  </c:txPr>
  <c:printSettings>
    <c:headerFooter/>
    <c:pageMargins b="0.78740157499999996" l="0.7" r="0.7" t="0.78740157499999996"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de-AT"/>
              <a:t>Theoretischer Tarif durch Eigenverbrauch</a:t>
            </a:r>
          </a:p>
        </c:rich>
      </c:tx>
      <c:layout>
        <c:manualLayout>
          <c:xMode val="edge"/>
          <c:yMode val="edge"/>
          <c:x val="6.1514612726195149E-2"/>
          <c:y val="3.0959527849074114E-2"/>
        </c:manualLayout>
      </c:layout>
      <c:overlay val="0"/>
    </c:title>
    <c:autoTitleDeleted val="0"/>
    <c:plotArea>
      <c:layout>
        <c:manualLayout>
          <c:layoutTarget val="inner"/>
          <c:xMode val="edge"/>
          <c:yMode val="edge"/>
          <c:x val="4.2585501979362707E-2"/>
          <c:y val="0.16474705001537945"/>
          <c:w val="0.56159603694810389"/>
          <c:h val="0.57288838911520523"/>
        </c:manualLayout>
      </c:layout>
      <c:barChart>
        <c:barDir val="bar"/>
        <c:grouping val="clustered"/>
        <c:varyColors val="0"/>
        <c:ser>
          <c:idx val="0"/>
          <c:order val="0"/>
          <c:tx>
            <c:strRef>
              <c:f>Eingabe!$G$105</c:f>
              <c:strCache>
                <c:ptCount val="1"/>
                <c:pt idx="0">
                  <c:v>Aktueller Strompreis:</c:v>
                </c:pt>
              </c:strCache>
            </c:strRef>
          </c:tx>
          <c:spPr>
            <a:solidFill>
              <a:srgbClr val="015198"/>
            </a:solidFill>
            <a:ln>
              <a:noFill/>
            </a:ln>
          </c:spPr>
          <c:invertIfNegative val="0"/>
          <c:dLbls>
            <c:spPr>
              <a:noFill/>
              <a:ln>
                <a:noFill/>
              </a:ln>
              <a:effectLst/>
            </c:spPr>
            <c:txPr>
              <a:bodyPr/>
              <a:lstStyle/>
              <a:p>
                <a:pPr>
                  <a:defRPr sz="1000" b="0" i="0" u="none" strike="noStrike" baseline="0">
                    <a:solidFill>
                      <a:schemeClr val="bg1"/>
                    </a:solidFill>
                    <a:latin typeface="Calibri"/>
                    <a:ea typeface="Calibri"/>
                    <a:cs typeface="Calibri"/>
                  </a:defRPr>
                </a:pPr>
                <a:endParaRPr lang="de-D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Eingabe!$H$105</c:f>
              <c:numCache>
                <c:formatCode>0.000</c:formatCode>
                <c:ptCount val="1"/>
                <c:pt idx="0">
                  <c:v>0.25</c:v>
                </c:pt>
              </c:numCache>
            </c:numRef>
          </c:val>
          <c:extLst>
            <c:ext xmlns:c16="http://schemas.microsoft.com/office/drawing/2014/chart" uri="{C3380CC4-5D6E-409C-BE32-E72D297353CC}">
              <c16:uniqueId val="{00000000-09BD-4801-8BD3-39C2EE2658A5}"/>
            </c:ext>
          </c:extLst>
        </c:ser>
        <c:ser>
          <c:idx val="2"/>
          <c:order val="1"/>
          <c:tx>
            <c:v>Mischtarif</c:v>
          </c:tx>
          <c:spPr>
            <a:noFill/>
            <a:ln>
              <a:noFill/>
            </a:ln>
            <a:effectLst>
              <a:outerShdw dist="38100" algn="l" rotWithShape="0">
                <a:schemeClr val="tx1"/>
              </a:outerShdw>
            </a:effectLst>
          </c:spPr>
          <c:invertIfNegative val="0"/>
          <c:dLbls>
            <c:dLbl>
              <c:idx val="0"/>
              <c:layout>
                <c:manualLayout>
                  <c:x val="-3.5203518996733588E-2"/>
                  <c:y val="-0.2168022297056610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9BD-4801-8BD3-39C2EE2658A5}"/>
                </c:ext>
              </c:extLst>
            </c:dLbl>
            <c:spPr>
              <a:noFill/>
              <a:ln>
                <a:noFill/>
              </a:ln>
              <a:effectLst/>
            </c:spPr>
            <c:txPr>
              <a:bodyPr/>
              <a:lstStyle/>
              <a:p>
                <a:pPr>
                  <a:defRPr sz="1000" b="1" i="0" u="none" strike="noStrike" baseline="0">
                    <a:solidFill>
                      <a:srgbClr val="000000"/>
                    </a:solidFill>
                    <a:latin typeface="Calibri"/>
                    <a:ea typeface="Calibri"/>
                    <a:cs typeface="Calibri"/>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trendline>
            <c:trendlineType val="linear"/>
            <c:dispRSqr val="0"/>
            <c:dispEq val="0"/>
          </c:trendline>
          <c:trendline>
            <c:trendlineType val="linear"/>
            <c:dispRSqr val="0"/>
            <c:dispEq val="0"/>
          </c:trendline>
          <c:val>
            <c:numRef>
              <c:f>Berechnungen!$S$12</c:f>
              <c:numCache>
                <c:formatCode>_(* #,##0.0000_);_(* \(#,##0.0000\);_(* "-"??_);_(@_)</c:formatCode>
                <c:ptCount val="1"/>
                <c:pt idx="0">
                  <c:v>0.13750000000000001</c:v>
                </c:pt>
              </c:numCache>
            </c:numRef>
          </c:val>
          <c:extLst>
            <c:ext xmlns:c16="http://schemas.microsoft.com/office/drawing/2014/chart" uri="{C3380CC4-5D6E-409C-BE32-E72D297353CC}">
              <c16:uniqueId val="{00000002-09BD-4801-8BD3-39C2EE2658A5}"/>
            </c:ext>
          </c:extLst>
        </c:ser>
        <c:ser>
          <c:idx val="1"/>
          <c:order val="2"/>
          <c:tx>
            <c:strRef>
              <c:f>Eingabe!$I$55</c:f>
              <c:strCache>
                <c:ptCount val="1"/>
                <c:pt idx="0">
                  <c:v>Zu-/Abschläge</c:v>
                </c:pt>
              </c:strCache>
            </c:strRef>
          </c:tx>
          <c:spPr>
            <a:solidFill>
              <a:srgbClr val="71706C"/>
            </a:solidFill>
            <a:ln>
              <a:noFill/>
            </a:ln>
          </c:spPr>
          <c:invertIfNegative val="0"/>
          <c:dLbls>
            <c:spPr>
              <a:noFill/>
              <a:ln>
                <a:noFill/>
              </a:ln>
              <a:effectLst/>
            </c:spPr>
            <c:txPr>
              <a:bodyPr/>
              <a:lstStyle/>
              <a:p>
                <a:pPr>
                  <a:defRPr sz="1000" b="0" i="0" u="none" strike="noStrike" baseline="0">
                    <a:solidFill>
                      <a:srgbClr val="FFFFFF"/>
                    </a:solidFill>
                    <a:latin typeface="Calibri"/>
                    <a:ea typeface="Calibri"/>
                    <a:cs typeface="Calibri"/>
                  </a:defRPr>
                </a:pPr>
                <a:endParaRPr lang="de-DE"/>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Berechnungen!$H$64</c:f>
              <c:numCache>
                <c:formatCode>0.0000</c:formatCode>
                <c:ptCount val="1"/>
                <c:pt idx="0">
                  <c:v>0</c:v>
                </c:pt>
              </c:numCache>
            </c:numRef>
          </c:val>
          <c:extLst>
            <c:ext xmlns:c16="http://schemas.microsoft.com/office/drawing/2014/chart" uri="{C3380CC4-5D6E-409C-BE32-E72D297353CC}">
              <c16:uniqueId val="{00000003-09BD-4801-8BD3-39C2EE2658A5}"/>
            </c:ext>
          </c:extLst>
        </c:ser>
        <c:dLbls>
          <c:showLegendKey val="0"/>
          <c:showVal val="0"/>
          <c:showCatName val="0"/>
          <c:showSerName val="0"/>
          <c:showPercent val="0"/>
          <c:showBubbleSize val="0"/>
        </c:dLbls>
        <c:gapWidth val="150"/>
        <c:overlap val="50"/>
        <c:axId val="148311424"/>
        <c:axId val="148325504"/>
      </c:barChart>
      <c:catAx>
        <c:axId val="148311424"/>
        <c:scaling>
          <c:orientation val="minMax"/>
        </c:scaling>
        <c:delete val="1"/>
        <c:axPos val="l"/>
        <c:majorTickMark val="out"/>
        <c:minorTickMark val="none"/>
        <c:tickLblPos val="nextTo"/>
        <c:crossAx val="148325504"/>
        <c:crosses val="autoZero"/>
        <c:auto val="1"/>
        <c:lblAlgn val="ctr"/>
        <c:lblOffset val="100"/>
        <c:noMultiLvlLbl val="0"/>
      </c:catAx>
      <c:valAx>
        <c:axId val="148325504"/>
        <c:scaling>
          <c:orientation val="minMax"/>
        </c:scaling>
        <c:delete val="0"/>
        <c:axPos val="b"/>
        <c:minorGridlines>
          <c:spPr>
            <a:ln w="3175">
              <a:solidFill>
                <a:schemeClr val="bg1">
                  <a:lumMod val="75000"/>
                </a:schemeClr>
              </a:solidFill>
              <a:prstDash val="sysDash"/>
            </a:ln>
          </c:spPr>
        </c:minorGridlines>
        <c:title>
          <c:tx>
            <c:rich>
              <a:bodyPr/>
              <a:lstStyle/>
              <a:p>
                <a:pPr>
                  <a:defRPr sz="1000" b="1" i="0" u="none" strike="noStrike" baseline="0">
                    <a:solidFill>
                      <a:srgbClr val="000000"/>
                    </a:solidFill>
                    <a:latin typeface="Calibri"/>
                    <a:ea typeface="Calibri"/>
                    <a:cs typeface="Calibri"/>
                  </a:defRPr>
                </a:pPr>
                <a:r>
                  <a:rPr lang="de-AT"/>
                  <a:t>Euro</a:t>
                </a:r>
              </a:p>
            </c:rich>
          </c:tx>
          <c:layout>
            <c:manualLayout>
              <c:xMode val="edge"/>
              <c:yMode val="edge"/>
              <c:x val="0.30676411049791796"/>
              <c:y val="0.85708617914473406"/>
            </c:manualLayout>
          </c:layout>
          <c:overlay val="0"/>
        </c:title>
        <c:numFmt formatCode="0.000" sourceLinked="1"/>
        <c:majorTickMark val="out"/>
        <c:minorTickMark val="none"/>
        <c:tickLblPos val="nextTo"/>
        <c:spPr>
          <a:ln>
            <a:solidFill>
              <a:schemeClr val="tx1"/>
            </a:solidFill>
          </a:ln>
        </c:spPr>
        <c:txPr>
          <a:bodyPr rot="0" vert="horz"/>
          <a:lstStyle/>
          <a:p>
            <a:pPr>
              <a:defRPr sz="800" b="0" i="0" u="none" strike="noStrike" baseline="0">
                <a:solidFill>
                  <a:srgbClr val="000000"/>
                </a:solidFill>
                <a:latin typeface="Arial"/>
                <a:ea typeface="Arial"/>
                <a:cs typeface="Arial"/>
              </a:defRPr>
            </a:pPr>
            <a:endParaRPr lang="de-DE"/>
          </a:p>
        </c:txPr>
        <c:crossAx val="148311424"/>
        <c:crosses val="autoZero"/>
        <c:crossBetween val="between"/>
      </c:valAx>
      <c:spPr>
        <a:ln>
          <a:solidFill>
            <a:schemeClr val="bg1">
              <a:lumMod val="50000"/>
            </a:schemeClr>
          </a:solidFill>
          <a:prstDash val="sysDash"/>
        </a:ln>
      </c:spPr>
    </c:plotArea>
    <c:legend>
      <c:legendPos val="r"/>
      <c:legendEntry>
        <c:idx val="1"/>
        <c:delete val="1"/>
      </c:legendEntry>
      <c:legendEntry>
        <c:idx val="2"/>
        <c:delete val="1"/>
      </c:legendEntry>
      <c:layout>
        <c:manualLayout>
          <c:xMode val="edge"/>
          <c:yMode val="edge"/>
          <c:x val="0.69667090000846665"/>
          <c:y val="0.29949855715549373"/>
          <c:w val="0.20236543745814761"/>
          <c:h val="0.27200939661547835"/>
        </c:manualLayout>
      </c:layout>
      <c:overlay val="0"/>
      <c:txPr>
        <a:bodyPr/>
        <a:lstStyle/>
        <a:p>
          <a:pPr>
            <a:defRPr sz="920" b="0" i="0" u="none" strike="noStrike" baseline="0">
              <a:solidFill>
                <a:srgbClr val="000000"/>
              </a:solidFill>
              <a:latin typeface="Calibri"/>
              <a:ea typeface="Calibri"/>
              <a:cs typeface="Calibri"/>
            </a:defRPr>
          </a:pPr>
          <a:endParaRPr lang="de-DE"/>
        </a:p>
      </c:txPr>
    </c:legend>
    <c:plotVisOnly val="1"/>
    <c:dispBlanksAs val="gap"/>
    <c:showDLblsOverMax val="0"/>
  </c:chart>
  <c:spPr>
    <a:solidFill>
      <a:schemeClr val="bg1">
        <a:lumMod val="75000"/>
      </a:schemeClr>
    </a:solidFill>
    <a:ln>
      <a:noFill/>
    </a:ln>
  </c:spPr>
  <c:txPr>
    <a:bodyPr/>
    <a:lstStyle/>
    <a:p>
      <a:pPr>
        <a:defRPr sz="1000" b="0" i="0" u="none" strike="noStrike" baseline="0">
          <a:solidFill>
            <a:srgbClr val="000000"/>
          </a:solidFill>
          <a:latin typeface="Calibri"/>
          <a:ea typeface="Calibri"/>
          <a:cs typeface="Calibri"/>
        </a:defRPr>
      </a:pPr>
      <a:endParaRPr lang="de-DE"/>
    </a:p>
  </c:txPr>
  <c:printSettings>
    <c:headerFooter/>
    <c:pageMargins b="0.78740157499999996" l="0.7" r="0.7" t="0.78740157499999996"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489076428702045"/>
          <c:y val="0.125039025305093"/>
          <c:w val="0.18876007778899873"/>
          <c:h val="0.74297803439216914"/>
        </c:manualLayout>
      </c:layout>
      <c:pieChart>
        <c:varyColors val="1"/>
        <c:ser>
          <c:idx val="0"/>
          <c:order val="0"/>
          <c:spPr>
            <a:solidFill>
              <a:srgbClr val="9999FF"/>
            </a:solidFill>
            <a:ln w="25400">
              <a:noFill/>
            </a:ln>
          </c:spPr>
          <c:dPt>
            <c:idx val="0"/>
            <c:bubble3D val="0"/>
            <c:explosion val="5"/>
            <c:spPr>
              <a:solidFill>
                <a:srgbClr val="993300"/>
              </a:solidFill>
              <a:ln w="25400">
                <a:noFill/>
              </a:ln>
            </c:spPr>
            <c:extLst>
              <c:ext xmlns:c16="http://schemas.microsoft.com/office/drawing/2014/chart" uri="{C3380CC4-5D6E-409C-BE32-E72D297353CC}">
                <c16:uniqueId val="{00000001-182C-4477-9DDF-9CBD761FD02B}"/>
              </c:ext>
            </c:extLst>
          </c:dPt>
          <c:dPt>
            <c:idx val="1"/>
            <c:bubble3D val="0"/>
            <c:explosion val="6"/>
            <c:spPr>
              <a:solidFill>
                <a:schemeClr val="bg1"/>
              </a:solidFill>
              <a:ln w="25400">
                <a:noFill/>
              </a:ln>
            </c:spPr>
            <c:extLst>
              <c:ext xmlns:c16="http://schemas.microsoft.com/office/drawing/2014/chart" uri="{C3380CC4-5D6E-409C-BE32-E72D297353CC}">
                <c16:uniqueId val="{00000003-182C-4477-9DDF-9CBD761FD02B}"/>
              </c:ext>
            </c:extLst>
          </c:dPt>
          <c:dPt>
            <c:idx val="2"/>
            <c:bubble3D val="0"/>
            <c:explosion val="6"/>
            <c:spPr>
              <a:solidFill>
                <a:srgbClr val="71706C"/>
              </a:solidFill>
              <a:ln w="12700">
                <a:noFill/>
                <a:prstDash val="solid"/>
              </a:ln>
            </c:spPr>
            <c:extLst>
              <c:ext xmlns:c16="http://schemas.microsoft.com/office/drawing/2014/chart" uri="{C3380CC4-5D6E-409C-BE32-E72D297353CC}">
                <c16:uniqueId val="{00000005-182C-4477-9DDF-9CBD761FD02B}"/>
              </c:ext>
            </c:extLst>
          </c:dPt>
          <c:dPt>
            <c:idx val="3"/>
            <c:bubble3D val="0"/>
            <c:spPr>
              <a:solidFill>
                <a:srgbClr val="015198"/>
              </a:solidFill>
              <a:ln w="25400">
                <a:noFill/>
              </a:ln>
            </c:spPr>
            <c:extLst>
              <c:ext xmlns:c16="http://schemas.microsoft.com/office/drawing/2014/chart" uri="{C3380CC4-5D6E-409C-BE32-E72D297353CC}">
                <c16:uniqueId val="{00000007-182C-4477-9DDF-9CBD761FD02B}"/>
              </c:ext>
            </c:extLst>
          </c:dPt>
          <c:dLbls>
            <c:numFmt formatCode="0%" sourceLinked="0"/>
            <c:spPr>
              <a:noFill/>
              <a:ln w="25400">
                <a:noFill/>
              </a:ln>
            </c:spPr>
            <c:txPr>
              <a:bodyPr/>
              <a:lstStyle/>
              <a:p>
                <a:pPr>
                  <a:defRPr sz="1000" b="0" i="0" u="none" strike="noStrike" baseline="0">
                    <a:solidFill>
                      <a:srgbClr val="000000"/>
                    </a:solidFill>
                    <a:latin typeface="Calibri"/>
                    <a:ea typeface="Calibri"/>
                    <a:cs typeface="Calibri"/>
                  </a:defRPr>
                </a:pPr>
                <a:endParaRPr lang="de-DE"/>
              </a:p>
            </c:txPr>
            <c:dLblPos val="outEnd"/>
            <c:showLegendKey val="0"/>
            <c:showVal val="0"/>
            <c:showCatName val="0"/>
            <c:showSerName val="0"/>
            <c:showPercent val="1"/>
            <c:showBubbleSize val="0"/>
            <c:showLeaderLines val="1"/>
            <c:extLst>
              <c:ext xmlns:c15="http://schemas.microsoft.com/office/drawing/2012/chart" uri="{CE6537A1-D6FC-4f65-9D91-7224C49458BB}"/>
            </c:extLst>
          </c:dLbls>
          <c:cat>
            <c:strRef>
              <c:f>(Eingabe!$I$192:$J$192,Eingabe!$M$192:$N$192)</c:f>
              <c:strCache>
                <c:ptCount val="4"/>
                <c:pt idx="0">
                  <c:v>Sonstige Förderungen (z.B.: Gemeinde)</c:v>
                </c:pt>
                <c:pt idx="1">
                  <c:v>Fördermittel Land</c:v>
                </c:pt>
                <c:pt idx="2">
                  <c:v>Investitionsförderung - Bund</c:v>
                </c:pt>
                <c:pt idx="3">
                  <c:v>Eigenmittel</c:v>
                </c:pt>
              </c:strCache>
            </c:strRef>
          </c:cat>
          <c:val>
            <c:numRef>
              <c:f>(Eingabe!$I$193:$J$193,Eingabe!$M$193:$N$193)</c:f>
              <c:numCache>
                <c:formatCode>General</c:formatCode>
                <c:ptCount val="4"/>
                <c:pt idx="0" formatCode="_(* #,##0_);_(* \(#,##0\);_(* &quot;-&quot;??_);_(@_)">
                  <c:v>0</c:v>
                </c:pt>
                <c:pt idx="1">
                  <c:v>1500</c:v>
                </c:pt>
                <c:pt idx="2">
                  <c:v>0</c:v>
                </c:pt>
                <c:pt idx="3" formatCode="_(* #,##0_);_(* \(#,##0\);_(* &quot;-&quot;??_);_(@_)">
                  <c:v>7230</c:v>
                </c:pt>
              </c:numCache>
            </c:numRef>
          </c:val>
          <c:extLst>
            <c:ext xmlns:c16="http://schemas.microsoft.com/office/drawing/2014/chart" uri="{C3380CC4-5D6E-409C-BE32-E72D297353CC}">
              <c16:uniqueId val="{00000008-182C-4477-9DDF-9CBD761FD02B}"/>
            </c:ext>
          </c:extLst>
        </c:ser>
        <c:dLbls>
          <c:showLegendKey val="0"/>
          <c:showVal val="0"/>
          <c:showCatName val="0"/>
          <c:showSerName val="0"/>
          <c:showPercent val="0"/>
          <c:showBubbleSize val="0"/>
          <c:showLeaderLines val="1"/>
        </c:dLbls>
        <c:firstSliceAng val="0"/>
      </c:pieChart>
      <c:spPr>
        <a:noFill/>
        <a:ln w="25400">
          <a:noFill/>
        </a:ln>
      </c:spPr>
    </c:plotArea>
    <c:legend>
      <c:legendPos val="tr"/>
      <c:layout>
        <c:manualLayout>
          <c:xMode val="edge"/>
          <c:yMode val="edge"/>
          <c:x val="0.45784360116376255"/>
          <c:y val="0.11576552930883639"/>
          <c:w val="0.43820880468544054"/>
          <c:h val="0.57928590287160853"/>
        </c:manualLayout>
      </c:layout>
      <c:overlay val="0"/>
      <c:spPr>
        <a:solidFill>
          <a:srgbClr val="C0C0C0"/>
        </a:solidFill>
        <a:ln w="25400">
          <a:noFill/>
        </a:ln>
      </c:spPr>
      <c:txPr>
        <a:bodyPr/>
        <a:lstStyle/>
        <a:p>
          <a:pPr>
            <a:defRPr sz="920" b="0" i="0" u="none" strike="noStrike" baseline="0">
              <a:solidFill>
                <a:srgbClr val="000000"/>
              </a:solidFill>
              <a:latin typeface="Calibri"/>
              <a:ea typeface="Calibri"/>
              <a:cs typeface="Calibri"/>
            </a:defRPr>
          </a:pPr>
          <a:endParaRPr lang="de-DE"/>
        </a:p>
      </c:txPr>
    </c:legend>
    <c:plotVisOnly val="1"/>
    <c:dispBlanksAs val="zero"/>
    <c:showDLblsOverMax val="0"/>
  </c:chart>
  <c:spPr>
    <a:solidFill>
      <a:schemeClr val="bg1">
        <a:lumMod val="75000"/>
      </a:schemeClr>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8764647031440113E-2"/>
          <c:y val="5.0290182893139974E-2"/>
          <c:w val="0.76573513728230769"/>
          <c:h val="0.86267006039770877"/>
        </c:manualLayout>
      </c:layout>
      <c:lineChart>
        <c:grouping val="standard"/>
        <c:varyColors val="0"/>
        <c:ser>
          <c:idx val="0"/>
          <c:order val="0"/>
          <c:spPr>
            <a:ln w="25400">
              <a:solidFill>
                <a:srgbClr val="000080"/>
              </a:solidFill>
              <a:prstDash val="solid"/>
            </a:ln>
          </c:spPr>
          <c:marker>
            <c:symbol val="none"/>
          </c:marker>
          <c:trendline>
            <c:spPr>
              <a:ln w="25400">
                <a:solidFill>
                  <a:srgbClr val="000000"/>
                </a:solidFill>
                <a:prstDash val="solid"/>
              </a:ln>
            </c:spPr>
            <c:trendlineType val="linear"/>
            <c:dispRSqr val="0"/>
            <c:dispEq val="1"/>
            <c:trendlineLbl>
              <c:layout>
                <c:manualLayout>
                  <c:xMode val="edge"/>
                  <c:yMode val="edge"/>
                  <c:x val="0.84615480923433084"/>
                  <c:y val="0.22437158521554756"/>
                </c:manualLayout>
              </c:layout>
              <c:numFmt formatCode="General" sourceLinked="0"/>
              <c:spPr>
                <a:noFill/>
                <a:ln w="25400">
                  <a:noFill/>
                </a:ln>
              </c:spPr>
              <c:txPr>
                <a:bodyPr/>
                <a:lstStyle/>
                <a:p>
                  <a:pPr>
                    <a:defRPr sz="1000" b="0" i="0" u="none" strike="noStrike" baseline="0">
                      <a:solidFill>
                        <a:srgbClr val="000000"/>
                      </a:solidFill>
                      <a:latin typeface="Arial"/>
                      <a:ea typeface="Arial"/>
                      <a:cs typeface="Arial"/>
                    </a:defRPr>
                  </a:pPr>
                  <a:endParaRPr lang="de-DE"/>
                </a:p>
              </c:txPr>
            </c:trendlineLbl>
          </c:trendline>
          <c:val>
            <c:numRef>
              <c:f>Strompreis!$B$55:$CI$55</c:f>
              <c:numCache>
                <c:formatCode>0.00</c:formatCode>
                <c:ptCount val="86"/>
                <c:pt idx="0">
                  <c:v>14.653040816326527</c:v>
                </c:pt>
                <c:pt idx="1">
                  <c:v>14.660448979591834</c:v>
                </c:pt>
                <c:pt idx="2">
                  <c:v>14.667163265306119</c:v>
                </c:pt>
                <c:pt idx="3">
                  <c:v>14.547257142857145</c:v>
                </c:pt>
                <c:pt idx="4">
                  <c:v>14.43962448979592</c:v>
                </c:pt>
                <c:pt idx="5">
                  <c:v>14.399632653061227</c:v>
                </c:pt>
                <c:pt idx="6">
                  <c:v>14.391502040816325</c:v>
                </c:pt>
                <c:pt idx="7">
                  <c:v>14.41618775510204</c:v>
                </c:pt>
                <c:pt idx="8">
                  <c:v>14.417363265306124</c:v>
                </c:pt>
                <c:pt idx="9">
                  <c:v>14.429608163265311</c:v>
                </c:pt>
                <c:pt idx="10">
                  <c:v>14.429608163265311</c:v>
                </c:pt>
                <c:pt idx="11">
                  <c:v>14.429608163265311</c:v>
                </c:pt>
                <c:pt idx="12">
                  <c:v>14.722726530612245</c:v>
                </c:pt>
                <c:pt idx="13">
                  <c:v>14.679159183673468</c:v>
                </c:pt>
                <c:pt idx="14">
                  <c:v>14.699314285714285</c:v>
                </c:pt>
                <c:pt idx="15">
                  <c:v>14.71545306122449</c:v>
                </c:pt>
                <c:pt idx="16">
                  <c:v>14.706636734693877</c:v>
                </c:pt>
                <c:pt idx="17">
                  <c:v>14.706636734693877</c:v>
                </c:pt>
                <c:pt idx="18">
                  <c:v>14.706636734693877</c:v>
                </c:pt>
                <c:pt idx="19">
                  <c:v>14.706636734693877</c:v>
                </c:pt>
                <c:pt idx="20">
                  <c:v>14.706636734693877</c:v>
                </c:pt>
                <c:pt idx="21">
                  <c:v>14.706636734693877</c:v>
                </c:pt>
                <c:pt idx="22">
                  <c:v>14.438253061224488</c:v>
                </c:pt>
                <c:pt idx="23">
                  <c:v>14.438253061224488</c:v>
                </c:pt>
                <c:pt idx="24">
                  <c:v>14.708228571428574</c:v>
                </c:pt>
                <c:pt idx="25">
                  <c:v>14.708254945054948</c:v>
                </c:pt>
                <c:pt idx="26">
                  <c:v>14.708254945054948</c:v>
                </c:pt>
                <c:pt idx="27">
                  <c:v>14.827912087912088</c:v>
                </c:pt>
                <c:pt idx="28">
                  <c:v>14.827912087912088</c:v>
                </c:pt>
                <c:pt idx="29">
                  <c:v>14.827912087912088</c:v>
                </c:pt>
                <c:pt idx="30">
                  <c:v>14.827912087912088</c:v>
                </c:pt>
                <c:pt idx="31">
                  <c:v>14.827226373626372</c:v>
                </c:pt>
                <c:pt idx="32">
                  <c:v>14.827569230769235</c:v>
                </c:pt>
                <c:pt idx="33">
                  <c:v>14.77563956043956</c:v>
                </c:pt>
                <c:pt idx="34">
                  <c:v>14.793942857142856</c:v>
                </c:pt>
                <c:pt idx="35">
                  <c:v>14.788773626373626</c:v>
                </c:pt>
                <c:pt idx="36">
                  <c:v>14.788773626373626</c:v>
                </c:pt>
                <c:pt idx="37">
                  <c:v>14.547870329670328</c:v>
                </c:pt>
                <c:pt idx="38">
                  <c:v>14.545345054945056</c:v>
                </c:pt>
                <c:pt idx="39">
                  <c:v>14.372782417582417</c:v>
                </c:pt>
                <c:pt idx="40">
                  <c:v>14.372782417582417</c:v>
                </c:pt>
                <c:pt idx="41">
                  <c:v>14.062826373626361</c:v>
                </c:pt>
                <c:pt idx="42">
                  <c:v>14.396043956043957</c:v>
                </c:pt>
                <c:pt idx="43">
                  <c:v>14.396043956043957</c:v>
                </c:pt>
                <c:pt idx="44">
                  <c:v>14.396043956043957</c:v>
                </c:pt>
                <c:pt idx="45">
                  <c:v>14.396043956043957</c:v>
                </c:pt>
                <c:pt idx="46">
                  <c:v>14.396043956043968</c:v>
                </c:pt>
                <c:pt idx="47">
                  <c:v>14.396043956043968</c:v>
                </c:pt>
                <c:pt idx="48">
                  <c:v>14.229296703296702</c:v>
                </c:pt>
                <c:pt idx="49">
                  <c:v>14.734786813186812</c:v>
                </c:pt>
                <c:pt idx="50">
                  <c:v>14.734786813186812</c:v>
                </c:pt>
                <c:pt idx="51">
                  <c:v>14.734786813186812</c:v>
                </c:pt>
                <c:pt idx="52">
                  <c:v>14.734786813186812</c:v>
                </c:pt>
                <c:pt idx="53">
                  <c:v>14.734786813186812</c:v>
                </c:pt>
                <c:pt idx="54">
                  <c:v>14.693723076923078</c:v>
                </c:pt>
                <c:pt idx="55">
                  <c:v>14.693723076923078</c:v>
                </c:pt>
                <c:pt idx="56">
                  <c:v>14.693723076923078</c:v>
                </c:pt>
                <c:pt idx="57">
                  <c:v>14.693723076923087</c:v>
                </c:pt>
                <c:pt idx="58">
                  <c:v>14.693723076923087</c:v>
                </c:pt>
                <c:pt idx="59">
                  <c:v>14.69372307692309</c:v>
                </c:pt>
                <c:pt idx="60">
                  <c:v>15.801362637362637</c:v>
                </c:pt>
                <c:pt idx="61">
                  <c:v>15.801362637362637</c:v>
                </c:pt>
                <c:pt idx="62">
                  <c:v>15.801362637362637</c:v>
                </c:pt>
                <c:pt idx="63">
                  <c:v>15.801362637362637</c:v>
                </c:pt>
                <c:pt idx="64">
                  <c:v>15.801362637362637</c:v>
                </c:pt>
                <c:pt idx="65">
                  <c:v>15.801362637362637</c:v>
                </c:pt>
                <c:pt idx="66">
                  <c:v>15.801538461538463</c:v>
                </c:pt>
                <c:pt idx="67">
                  <c:v>15.801538461538463</c:v>
                </c:pt>
                <c:pt idx="68">
                  <c:v>15.801538461538463</c:v>
                </c:pt>
                <c:pt idx="69">
                  <c:v>15.801538461538463</c:v>
                </c:pt>
                <c:pt idx="70">
                  <c:v>15.801538461538463</c:v>
                </c:pt>
                <c:pt idx="71">
                  <c:v>15.357692307692311</c:v>
                </c:pt>
                <c:pt idx="72">
                  <c:v>15.75</c:v>
                </c:pt>
                <c:pt idx="73">
                  <c:v>15.75</c:v>
                </c:pt>
                <c:pt idx="74">
                  <c:v>15.75</c:v>
                </c:pt>
                <c:pt idx="75">
                  <c:v>15.75</c:v>
                </c:pt>
                <c:pt idx="76">
                  <c:v>15.75</c:v>
                </c:pt>
                <c:pt idx="77">
                  <c:v>16.454615384615384</c:v>
                </c:pt>
                <c:pt idx="78">
                  <c:v>16.454615384615384</c:v>
                </c:pt>
                <c:pt idx="79">
                  <c:v>16.454615384615384</c:v>
                </c:pt>
                <c:pt idx="80">
                  <c:v>16.454615384615384</c:v>
                </c:pt>
                <c:pt idx="81">
                  <c:v>16.454615384615384</c:v>
                </c:pt>
                <c:pt idx="82">
                  <c:v>16.424615384615386</c:v>
                </c:pt>
                <c:pt idx="83">
                  <c:v>16.437692307692313</c:v>
                </c:pt>
                <c:pt idx="84">
                  <c:v>16.411538461538463</c:v>
                </c:pt>
                <c:pt idx="85">
                  <c:v>16.013846153846156</c:v>
                </c:pt>
              </c:numCache>
            </c:numRef>
          </c:val>
          <c:smooth val="1"/>
          <c:extLst>
            <c:ext xmlns:c16="http://schemas.microsoft.com/office/drawing/2014/chart" uri="{C3380CC4-5D6E-409C-BE32-E72D297353CC}">
              <c16:uniqueId val="{00000000-9E84-4489-8DC0-85FC9F2F2941}"/>
            </c:ext>
          </c:extLst>
        </c:ser>
        <c:dLbls>
          <c:showLegendKey val="0"/>
          <c:showVal val="0"/>
          <c:showCatName val="0"/>
          <c:showSerName val="0"/>
          <c:showPercent val="0"/>
          <c:showBubbleSize val="0"/>
        </c:dLbls>
        <c:smooth val="0"/>
        <c:axId val="148602240"/>
        <c:axId val="148518016"/>
      </c:lineChart>
      <c:catAx>
        <c:axId val="1486022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148518016"/>
        <c:crosses val="autoZero"/>
        <c:auto val="1"/>
        <c:lblAlgn val="ctr"/>
        <c:lblOffset val="100"/>
        <c:tickLblSkip val="3"/>
        <c:tickMarkSkip val="1"/>
        <c:noMultiLvlLbl val="0"/>
      </c:catAx>
      <c:valAx>
        <c:axId val="148518016"/>
        <c:scaling>
          <c:orientation val="minMax"/>
        </c:scaling>
        <c:delete val="0"/>
        <c:axPos val="l"/>
        <c:majorGridlines>
          <c:spPr>
            <a:ln w="3175">
              <a:solidFill>
                <a:srgbClr val="000000"/>
              </a:solidFill>
              <a:prstDash val="solid"/>
            </a:ln>
          </c:spPr>
        </c:majorGridlines>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148602240"/>
        <c:crosses val="autoZero"/>
        <c:crossBetween val="between"/>
      </c:valAx>
      <c:spPr>
        <a:solidFill>
          <a:srgbClr val="C0C0C0"/>
        </a:solidFill>
        <a:ln w="12700">
          <a:solidFill>
            <a:srgbClr val="808080"/>
          </a:solidFill>
          <a:prstDash val="solid"/>
        </a:ln>
      </c:spPr>
    </c:plotArea>
    <c:legend>
      <c:legendPos val="r"/>
      <c:layout>
        <c:manualLayout>
          <c:xMode val="edge"/>
          <c:yMode val="edge"/>
          <c:x val="0.84732032621796394"/>
          <c:y val="0.44100620884671815"/>
          <c:w val="0.14335676571897049"/>
          <c:h val="8.3172147001934205E-2"/>
        </c:manualLayout>
      </c:layout>
      <c:overlay val="0"/>
      <c:spPr>
        <a:solidFill>
          <a:srgbClr val="FFFFFF"/>
        </a:solidFill>
        <a:ln w="3175">
          <a:solidFill>
            <a:srgbClr val="000000"/>
          </a:solidFill>
          <a:prstDash val="solid"/>
        </a:ln>
      </c:spPr>
      <c:txPr>
        <a:bodyPr/>
        <a:lstStyle/>
        <a:p>
          <a:pPr>
            <a:defRPr sz="845" b="0" i="0" u="none" strike="noStrike" baseline="0">
              <a:solidFill>
                <a:srgbClr val="000000"/>
              </a:solidFill>
              <a:latin typeface="Arial"/>
              <a:ea typeface="Arial"/>
              <a:cs typeface="Arial"/>
            </a:defRPr>
          </a:pPr>
          <a:endParaRPr lang="de-DE"/>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drawings/_rels/drawing1.xml.rels><?xml version="1.0" encoding="UTF-8" standalone="yes"?>
<Relationships xmlns="http://schemas.openxmlformats.org/package/2006/relationships"><Relationship Id="rId3" Type="http://schemas.openxmlformats.org/officeDocument/2006/relationships/hyperlink" Target="https://www.klimaaktiv.at/" TargetMode="External"/><Relationship Id="rId7" Type="http://schemas.openxmlformats.org/officeDocument/2006/relationships/image" Target="../media/image4.png"/><Relationship Id="rId2" Type="http://schemas.openxmlformats.org/officeDocument/2006/relationships/image" Target="../media/image1.jpeg"/><Relationship Id="rId1" Type="http://schemas.openxmlformats.org/officeDocument/2006/relationships/hyperlink" Target="https://www.energyagency.at/" TargetMode="External"/><Relationship Id="rId6" Type="http://schemas.openxmlformats.org/officeDocument/2006/relationships/image" Target="../media/image3.jpeg"/><Relationship Id="rId5" Type="http://schemas.openxmlformats.org/officeDocument/2006/relationships/hyperlink" Target="https://www.linzag.at/portal/de/privatkunden?action=1" TargetMode="External"/><Relationship Id="rId4" Type="http://schemas.openxmlformats.org/officeDocument/2006/relationships/image" Target="../media/image2.png"/></Relationships>
</file>

<file path=xl/drawings/_rels/drawing2.xml.rels><?xml version="1.0" encoding="UTF-8" standalone="yes"?>
<Relationships xmlns="http://schemas.openxmlformats.org/package/2006/relationships"><Relationship Id="rId8" Type="http://schemas.openxmlformats.org/officeDocument/2006/relationships/image" Target="../media/image7.emf"/><Relationship Id="rId13" Type="http://schemas.openxmlformats.org/officeDocument/2006/relationships/image" Target="../media/image12.png"/><Relationship Id="rId18" Type="http://schemas.openxmlformats.org/officeDocument/2006/relationships/image" Target="../media/image17.png"/><Relationship Id="rId3" Type="http://schemas.openxmlformats.org/officeDocument/2006/relationships/hyperlink" Target="https://www.klimaaktiv.at/" TargetMode="External"/><Relationship Id="rId7" Type="http://schemas.openxmlformats.org/officeDocument/2006/relationships/image" Target="../media/image6.emf"/><Relationship Id="rId12" Type="http://schemas.openxmlformats.org/officeDocument/2006/relationships/image" Target="../media/image11.png"/><Relationship Id="rId17" Type="http://schemas.openxmlformats.org/officeDocument/2006/relationships/image" Target="../media/image16.png"/><Relationship Id="rId2" Type="http://schemas.openxmlformats.org/officeDocument/2006/relationships/image" Target="../media/image1.jpeg"/><Relationship Id="rId16" Type="http://schemas.openxmlformats.org/officeDocument/2006/relationships/image" Target="../media/image15.png"/><Relationship Id="rId1" Type="http://schemas.openxmlformats.org/officeDocument/2006/relationships/hyperlink" Target="https://www.energyagency.at/" TargetMode="External"/><Relationship Id="rId6" Type="http://schemas.openxmlformats.org/officeDocument/2006/relationships/image" Target="../media/image5.jpeg"/><Relationship Id="rId11" Type="http://schemas.openxmlformats.org/officeDocument/2006/relationships/image" Target="../media/image10.png"/><Relationship Id="rId5" Type="http://schemas.openxmlformats.org/officeDocument/2006/relationships/hyperlink" Target="https://www.linzag.at/portal/de/privatkunden?action=1" TargetMode="External"/><Relationship Id="rId15" Type="http://schemas.openxmlformats.org/officeDocument/2006/relationships/image" Target="../media/image14.png"/><Relationship Id="rId10" Type="http://schemas.openxmlformats.org/officeDocument/2006/relationships/image" Target="../media/image9.emf"/><Relationship Id="rId4" Type="http://schemas.openxmlformats.org/officeDocument/2006/relationships/image" Target="../media/image2.png"/><Relationship Id="rId9" Type="http://schemas.openxmlformats.org/officeDocument/2006/relationships/image" Target="../media/image8.emf"/><Relationship Id="rId14" Type="http://schemas.openxmlformats.org/officeDocument/2006/relationships/image" Target="../media/image1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4.xml"/><Relationship Id="rId13" Type="http://schemas.openxmlformats.org/officeDocument/2006/relationships/image" Target="../media/image22.jpeg"/><Relationship Id="rId3" Type="http://schemas.openxmlformats.org/officeDocument/2006/relationships/image" Target="../media/image19.emf"/><Relationship Id="rId7" Type="http://schemas.openxmlformats.org/officeDocument/2006/relationships/chart" Target="../charts/chart3.xml"/><Relationship Id="rId12" Type="http://schemas.openxmlformats.org/officeDocument/2006/relationships/hyperlink" Target="https://www.linzag.at/portal/de/privatkunden?action=1" TargetMode="External"/><Relationship Id="rId2" Type="http://schemas.openxmlformats.org/officeDocument/2006/relationships/image" Target="../media/image18.jpeg"/><Relationship Id="rId16" Type="http://schemas.openxmlformats.org/officeDocument/2006/relationships/chart" Target="../charts/chart7.xml"/><Relationship Id="rId1" Type="http://schemas.openxmlformats.org/officeDocument/2006/relationships/hyperlink" Target="https://www.energyagency.at/" TargetMode="External"/><Relationship Id="rId6" Type="http://schemas.openxmlformats.org/officeDocument/2006/relationships/chart" Target="../charts/chart2.xml"/><Relationship Id="rId11" Type="http://schemas.openxmlformats.org/officeDocument/2006/relationships/image" Target="../media/image21.png"/><Relationship Id="rId5" Type="http://schemas.openxmlformats.org/officeDocument/2006/relationships/chart" Target="../charts/chart1.xml"/><Relationship Id="rId15" Type="http://schemas.openxmlformats.org/officeDocument/2006/relationships/chart" Target="../charts/chart6.xml"/><Relationship Id="rId10" Type="http://schemas.openxmlformats.org/officeDocument/2006/relationships/hyperlink" Target="https://www.klimaaktiv.at/" TargetMode="External"/><Relationship Id="rId4" Type="http://schemas.openxmlformats.org/officeDocument/2006/relationships/image" Target="../media/image20.jpeg"/><Relationship Id="rId9" Type="http://schemas.openxmlformats.org/officeDocument/2006/relationships/chart" Target="../charts/chart5.xml"/><Relationship Id="rId14" Type="http://schemas.openxmlformats.org/officeDocument/2006/relationships/image" Target="../media/image23.png"/></Relationships>
</file>

<file path=xl/drawings/_rels/drawing4.xml.rels><?xml version="1.0" encoding="UTF-8" standalone="yes"?>
<Relationships xmlns="http://schemas.openxmlformats.org/package/2006/relationships"><Relationship Id="rId3" Type="http://schemas.openxmlformats.org/officeDocument/2006/relationships/hyperlink" Target="https://www.klimaaktiv.at/" TargetMode="External"/><Relationship Id="rId2" Type="http://schemas.openxmlformats.org/officeDocument/2006/relationships/image" Target="../media/image24.jpeg"/><Relationship Id="rId1" Type="http://schemas.openxmlformats.org/officeDocument/2006/relationships/hyperlink" Target="https://www.energyagency.at/" TargetMode="External"/><Relationship Id="rId6" Type="http://schemas.openxmlformats.org/officeDocument/2006/relationships/image" Target="../media/image26.jpeg"/><Relationship Id="rId5" Type="http://schemas.openxmlformats.org/officeDocument/2006/relationships/hyperlink" Target="https://www.linzag.at/portal/de/privatkunden?action=1" TargetMode="External"/><Relationship Id="rId4" Type="http://schemas.openxmlformats.org/officeDocument/2006/relationships/image" Target="../media/image25.png"/></Relationships>
</file>

<file path=xl/drawings/_rels/drawing5.xml.rels><?xml version="1.0" encoding="UTF-8" standalone="yes"?>
<Relationships xmlns="http://schemas.openxmlformats.org/package/2006/relationships"><Relationship Id="rId3" Type="http://schemas.openxmlformats.org/officeDocument/2006/relationships/hyperlink" Target="https://www.klimaaktiv.at/" TargetMode="External"/><Relationship Id="rId2" Type="http://schemas.openxmlformats.org/officeDocument/2006/relationships/image" Target="../media/image27.jpeg"/><Relationship Id="rId1" Type="http://schemas.openxmlformats.org/officeDocument/2006/relationships/hyperlink" Target="https://www.energyagency.at/" TargetMode="External"/><Relationship Id="rId6" Type="http://schemas.openxmlformats.org/officeDocument/2006/relationships/image" Target="../media/image29.jpeg"/><Relationship Id="rId5" Type="http://schemas.openxmlformats.org/officeDocument/2006/relationships/hyperlink" Target="https://www.linzag.at/portal/de/privatkunden?action=1" TargetMode="External"/><Relationship Id="rId4" Type="http://schemas.openxmlformats.org/officeDocument/2006/relationships/image" Target="../media/image28.png"/></Relationships>
</file>

<file path=xl/drawings/_rels/drawing6.xml.rels><?xml version="1.0" encoding="UTF-8" standalone="yes"?>
<Relationships xmlns="http://schemas.openxmlformats.org/package/2006/relationships"><Relationship Id="rId3" Type="http://schemas.openxmlformats.org/officeDocument/2006/relationships/hyperlink" Target="https://www.klimaaktiv.at/" TargetMode="External"/><Relationship Id="rId2" Type="http://schemas.openxmlformats.org/officeDocument/2006/relationships/image" Target="../media/image30.jpeg"/><Relationship Id="rId1" Type="http://schemas.openxmlformats.org/officeDocument/2006/relationships/hyperlink" Target="https://www.energyagency.at/" TargetMode="External"/><Relationship Id="rId6" Type="http://schemas.openxmlformats.org/officeDocument/2006/relationships/image" Target="../media/image32.jpeg"/><Relationship Id="rId5" Type="http://schemas.openxmlformats.org/officeDocument/2006/relationships/hyperlink" Target="https://www.linzag.at/portal/de/privatkunden?action=1" TargetMode="External"/><Relationship Id="rId4" Type="http://schemas.openxmlformats.org/officeDocument/2006/relationships/image" Target="../media/image31.png"/></Relationships>
</file>

<file path=xl/drawings/_rels/drawing7.xml.rels><?xml version="1.0" encoding="UTF-8" standalone="yes"?>
<Relationships xmlns="http://schemas.openxmlformats.org/package/2006/relationships"><Relationship Id="rId2" Type="http://schemas.openxmlformats.org/officeDocument/2006/relationships/image" Target="../media/image33.png"/><Relationship Id="rId1"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xdr:from>
      <xdr:col>2</xdr:col>
      <xdr:colOff>304800</xdr:colOff>
      <xdr:row>37</xdr:row>
      <xdr:rowOff>9525</xdr:rowOff>
    </xdr:from>
    <xdr:to>
      <xdr:col>2</xdr:col>
      <xdr:colOff>304800</xdr:colOff>
      <xdr:row>37</xdr:row>
      <xdr:rowOff>9525</xdr:rowOff>
    </xdr:to>
    <xdr:sp macro="" textlink="">
      <xdr:nvSpPr>
        <xdr:cNvPr id="7242795" name="Line 12">
          <a:extLst>
            <a:ext uri="{FF2B5EF4-FFF2-40B4-BE49-F238E27FC236}">
              <a16:creationId xmlns:a16="http://schemas.microsoft.com/office/drawing/2014/main" id="{00000000-0008-0000-0000-00002B846E00}"/>
            </a:ext>
          </a:extLst>
        </xdr:cNvPr>
        <xdr:cNvSpPr>
          <a:spLocks noChangeShapeType="1"/>
        </xdr:cNvSpPr>
      </xdr:nvSpPr>
      <xdr:spPr bwMode="auto">
        <a:xfrm>
          <a:off x="1733550" y="60579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161925</xdr:colOff>
      <xdr:row>0</xdr:row>
      <xdr:rowOff>85725</xdr:rowOff>
    </xdr:from>
    <xdr:to>
      <xdr:col>3</xdr:col>
      <xdr:colOff>38100</xdr:colOff>
      <xdr:row>2</xdr:row>
      <xdr:rowOff>28575</xdr:rowOff>
    </xdr:to>
    <xdr:pic>
      <xdr:nvPicPr>
        <xdr:cNvPr id="7242796" name="Picture 32" descr="Österreichische Energie Agentur">
          <a:hlinkClick xmlns:r="http://schemas.openxmlformats.org/officeDocument/2006/relationships" r:id="rId1"/>
          <a:extLst>
            <a:ext uri="{FF2B5EF4-FFF2-40B4-BE49-F238E27FC236}">
              <a16:creationId xmlns:a16="http://schemas.microsoft.com/office/drawing/2014/main" id="{00000000-0008-0000-0000-00002C846E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90675" y="85725"/>
          <a:ext cx="59055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180975</xdr:colOff>
      <xdr:row>0</xdr:row>
      <xdr:rowOff>38100</xdr:rowOff>
    </xdr:from>
    <xdr:to>
      <xdr:col>1</xdr:col>
      <xdr:colOff>628650</xdr:colOff>
      <xdr:row>2</xdr:row>
      <xdr:rowOff>104775</xdr:rowOff>
    </xdr:to>
    <xdr:pic>
      <xdr:nvPicPr>
        <xdr:cNvPr id="7242799" name="Grafik 8">
          <a:hlinkClick xmlns:r="http://schemas.openxmlformats.org/officeDocument/2006/relationships" r:id="rId3"/>
          <a:extLst>
            <a:ext uri="{FF2B5EF4-FFF2-40B4-BE49-F238E27FC236}">
              <a16:creationId xmlns:a16="http://schemas.microsoft.com/office/drawing/2014/main" id="{00000000-0008-0000-0000-00002F846E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80975" y="38100"/>
          <a:ext cx="116205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219075</xdr:colOff>
      <xdr:row>1</xdr:row>
      <xdr:rowOff>0</xdr:rowOff>
    </xdr:from>
    <xdr:to>
      <xdr:col>4</xdr:col>
      <xdr:colOff>581025</xdr:colOff>
      <xdr:row>1</xdr:row>
      <xdr:rowOff>123825</xdr:rowOff>
    </xdr:to>
    <xdr:pic>
      <xdr:nvPicPr>
        <xdr:cNvPr id="7242800" name="Grafik 2">
          <a:hlinkClick xmlns:r="http://schemas.openxmlformats.org/officeDocument/2006/relationships" r:id="rId5"/>
          <a:extLst>
            <a:ext uri="{FF2B5EF4-FFF2-40B4-BE49-F238E27FC236}">
              <a16:creationId xmlns:a16="http://schemas.microsoft.com/office/drawing/2014/main" id="{00000000-0008-0000-0000-000030846E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362200" y="161925"/>
          <a:ext cx="1076325" cy="123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91247</xdr:rowOff>
    </xdr:from>
    <xdr:to>
      <xdr:col>10</xdr:col>
      <xdr:colOff>67235</xdr:colOff>
      <xdr:row>62</xdr:row>
      <xdr:rowOff>102139</xdr:rowOff>
    </xdr:to>
    <xdr:pic>
      <xdr:nvPicPr>
        <xdr:cNvPr id="3" name="Grafik 2">
          <a:extLst>
            <a:ext uri="{FF2B5EF4-FFF2-40B4-BE49-F238E27FC236}">
              <a16:creationId xmlns:a16="http://schemas.microsoft.com/office/drawing/2014/main" id="{5C64E131-FC94-3C22-A205-2F3B633DF410}"/>
            </a:ext>
          </a:extLst>
        </xdr:cNvPr>
        <xdr:cNvPicPr>
          <a:picLocks noChangeAspect="1"/>
        </xdr:cNvPicPr>
      </xdr:nvPicPr>
      <xdr:blipFill>
        <a:blip xmlns:r="http://schemas.openxmlformats.org/officeDocument/2006/relationships" r:embed="rId7"/>
        <a:stretch>
          <a:fillRect/>
        </a:stretch>
      </xdr:blipFill>
      <xdr:spPr>
        <a:xfrm>
          <a:off x="0" y="898071"/>
          <a:ext cx="7239000" cy="899800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85725</xdr:rowOff>
    </xdr:from>
    <xdr:to>
      <xdr:col>3</xdr:col>
      <xdr:colOff>38100</xdr:colOff>
      <xdr:row>2</xdr:row>
      <xdr:rowOff>28575</xdr:rowOff>
    </xdr:to>
    <xdr:pic>
      <xdr:nvPicPr>
        <xdr:cNvPr id="7243854" name="Picture 234" descr="Österreichische Energie Agentur">
          <a:hlinkClick xmlns:r="http://schemas.openxmlformats.org/officeDocument/2006/relationships" r:id="rId1"/>
          <a:extLst>
            <a:ext uri="{FF2B5EF4-FFF2-40B4-BE49-F238E27FC236}">
              <a16:creationId xmlns:a16="http://schemas.microsoft.com/office/drawing/2014/main" id="{00000000-0008-0000-0100-00004E886E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90675" y="85725"/>
          <a:ext cx="59055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180975</xdr:colOff>
      <xdr:row>0</xdr:row>
      <xdr:rowOff>38100</xdr:rowOff>
    </xdr:from>
    <xdr:to>
      <xdr:col>1</xdr:col>
      <xdr:colOff>628650</xdr:colOff>
      <xdr:row>3</xdr:row>
      <xdr:rowOff>28575</xdr:rowOff>
    </xdr:to>
    <xdr:pic>
      <xdr:nvPicPr>
        <xdr:cNvPr id="7243857" name="Grafik 13">
          <a:hlinkClick xmlns:r="http://schemas.openxmlformats.org/officeDocument/2006/relationships" r:id="rId3"/>
          <a:extLst>
            <a:ext uri="{FF2B5EF4-FFF2-40B4-BE49-F238E27FC236}">
              <a16:creationId xmlns:a16="http://schemas.microsoft.com/office/drawing/2014/main" id="{00000000-0008-0000-0100-000051886E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80975" y="38100"/>
          <a:ext cx="116205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219075</xdr:colOff>
      <xdr:row>1</xdr:row>
      <xdr:rowOff>0</xdr:rowOff>
    </xdr:from>
    <xdr:to>
      <xdr:col>4</xdr:col>
      <xdr:colOff>571500</xdr:colOff>
      <xdr:row>1</xdr:row>
      <xdr:rowOff>123825</xdr:rowOff>
    </xdr:to>
    <xdr:pic>
      <xdr:nvPicPr>
        <xdr:cNvPr id="7243858" name="Grafik 2">
          <a:hlinkClick xmlns:r="http://schemas.openxmlformats.org/officeDocument/2006/relationships" r:id="rId5"/>
          <a:extLst>
            <a:ext uri="{FF2B5EF4-FFF2-40B4-BE49-F238E27FC236}">
              <a16:creationId xmlns:a16="http://schemas.microsoft.com/office/drawing/2014/main" id="{00000000-0008-0000-0100-000052886E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362200" y="161925"/>
          <a:ext cx="1066800" cy="123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95250</xdr:colOff>
      <xdr:row>29</xdr:row>
      <xdr:rowOff>114300</xdr:rowOff>
    </xdr:from>
    <xdr:to>
      <xdr:col>8</xdr:col>
      <xdr:colOff>609600</xdr:colOff>
      <xdr:row>44</xdr:row>
      <xdr:rowOff>142875</xdr:rowOff>
    </xdr:to>
    <xdr:pic>
      <xdr:nvPicPr>
        <xdr:cNvPr id="7243860" name="Grafik 16">
          <a:extLst>
            <a:ext uri="{FF2B5EF4-FFF2-40B4-BE49-F238E27FC236}">
              <a16:creationId xmlns:a16="http://schemas.microsoft.com/office/drawing/2014/main" id="{00000000-0008-0000-0100-000054886E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95250" y="4857750"/>
          <a:ext cx="6229350" cy="2457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85725</xdr:colOff>
      <xdr:row>22</xdr:row>
      <xdr:rowOff>104775</xdr:rowOff>
    </xdr:from>
    <xdr:to>
      <xdr:col>8</xdr:col>
      <xdr:colOff>600075</xdr:colOff>
      <xdr:row>29</xdr:row>
      <xdr:rowOff>57150</xdr:rowOff>
    </xdr:to>
    <xdr:pic>
      <xdr:nvPicPr>
        <xdr:cNvPr id="7243861" name="Grafik 18">
          <a:extLst>
            <a:ext uri="{FF2B5EF4-FFF2-40B4-BE49-F238E27FC236}">
              <a16:creationId xmlns:a16="http://schemas.microsoft.com/office/drawing/2014/main" id="{00000000-0008-0000-0100-000055886E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85725" y="3686175"/>
          <a:ext cx="6229350" cy="1114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85725</xdr:colOff>
      <xdr:row>5</xdr:row>
      <xdr:rowOff>104775</xdr:rowOff>
    </xdr:from>
    <xdr:to>
      <xdr:col>8</xdr:col>
      <xdr:colOff>600075</xdr:colOff>
      <xdr:row>18</xdr:row>
      <xdr:rowOff>104775</xdr:rowOff>
    </xdr:to>
    <xdr:pic>
      <xdr:nvPicPr>
        <xdr:cNvPr id="7243862" name="Grafik 19">
          <a:extLst>
            <a:ext uri="{FF2B5EF4-FFF2-40B4-BE49-F238E27FC236}">
              <a16:creationId xmlns:a16="http://schemas.microsoft.com/office/drawing/2014/main" id="{00000000-0008-0000-0100-000056886E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85725" y="809625"/>
          <a:ext cx="6229350" cy="2143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85725</xdr:colOff>
      <xdr:row>46</xdr:row>
      <xdr:rowOff>66675</xdr:rowOff>
    </xdr:from>
    <xdr:to>
      <xdr:col>8</xdr:col>
      <xdr:colOff>600075</xdr:colOff>
      <xdr:row>72</xdr:row>
      <xdr:rowOff>104775</xdr:rowOff>
    </xdr:to>
    <xdr:pic>
      <xdr:nvPicPr>
        <xdr:cNvPr id="7243863" name="Grafik 20">
          <a:extLst>
            <a:ext uri="{FF2B5EF4-FFF2-40B4-BE49-F238E27FC236}">
              <a16:creationId xmlns:a16="http://schemas.microsoft.com/office/drawing/2014/main" id="{00000000-0008-0000-0100-000057886E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85725" y="7562850"/>
          <a:ext cx="6229350" cy="424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82549</xdr:colOff>
      <xdr:row>77</xdr:row>
      <xdr:rowOff>67943</xdr:rowOff>
    </xdr:from>
    <xdr:to>
      <xdr:col>8</xdr:col>
      <xdr:colOff>644525</xdr:colOff>
      <xdr:row>111</xdr:row>
      <xdr:rowOff>89647</xdr:rowOff>
    </xdr:to>
    <xdr:pic>
      <xdr:nvPicPr>
        <xdr:cNvPr id="2" name="Grafik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1"/>
        <a:srcRect b="31989"/>
        <a:stretch/>
      </xdr:blipFill>
      <xdr:spPr>
        <a:xfrm>
          <a:off x="82549" y="12237531"/>
          <a:ext cx="6299388" cy="5355704"/>
        </a:xfrm>
        <a:prstGeom prst="rect">
          <a:avLst/>
        </a:prstGeom>
      </xdr:spPr>
    </xdr:pic>
    <xdr:clientData/>
  </xdr:twoCellAnchor>
  <xdr:twoCellAnchor editAs="oneCell">
    <xdr:from>
      <xdr:col>0</xdr:col>
      <xdr:colOff>78441</xdr:colOff>
      <xdr:row>157</xdr:row>
      <xdr:rowOff>25120</xdr:rowOff>
    </xdr:from>
    <xdr:to>
      <xdr:col>9</xdr:col>
      <xdr:colOff>336177</xdr:colOff>
      <xdr:row>196</xdr:row>
      <xdr:rowOff>91934</xdr:rowOff>
    </xdr:to>
    <xdr:pic>
      <xdr:nvPicPr>
        <xdr:cNvPr id="3" name="Grafik 2">
          <a:extLst>
            <a:ext uri="{FF2B5EF4-FFF2-40B4-BE49-F238E27FC236}">
              <a16:creationId xmlns:a16="http://schemas.microsoft.com/office/drawing/2014/main" id="{7E5ABEEF-7486-C6BC-BE19-5829AFA98B1A}"/>
            </a:ext>
          </a:extLst>
        </xdr:cNvPr>
        <xdr:cNvPicPr>
          <a:picLocks noChangeAspect="1"/>
        </xdr:cNvPicPr>
      </xdr:nvPicPr>
      <xdr:blipFill rotWithShape="1">
        <a:blip xmlns:r="http://schemas.openxmlformats.org/officeDocument/2006/relationships" r:embed="rId12"/>
        <a:srcRect l="2400"/>
        <a:stretch/>
      </xdr:blipFill>
      <xdr:spPr>
        <a:xfrm>
          <a:off x="78441" y="24745296"/>
          <a:ext cx="6712324" cy="6185226"/>
        </a:xfrm>
        <a:prstGeom prst="rect">
          <a:avLst/>
        </a:prstGeom>
      </xdr:spPr>
    </xdr:pic>
    <xdr:clientData/>
  </xdr:twoCellAnchor>
  <xdr:twoCellAnchor editAs="oneCell">
    <xdr:from>
      <xdr:col>0</xdr:col>
      <xdr:colOff>0</xdr:colOff>
      <xdr:row>111</xdr:row>
      <xdr:rowOff>22412</xdr:rowOff>
    </xdr:from>
    <xdr:to>
      <xdr:col>9</xdr:col>
      <xdr:colOff>327493</xdr:colOff>
      <xdr:row>156</xdr:row>
      <xdr:rowOff>127554</xdr:rowOff>
    </xdr:to>
    <xdr:pic>
      <xdr:nvPicPr>
        <xdr:cNvPr id="4" name="Grafik 3">
          <a:extLst>
            <a:ext uri="{FF2B5EF4-FFF2-40B4-BE49-F238E27FC236}">
              <a16:creationId xmlns:a16="http://schemas.microsoft.com/office/drawing/2014/main" id="{B9455064-89AB-3E21-C36B-76EFF3555A50}"/>
            </a:ext>
          </a:extLst>
        </xdr:cNvPr>
        <xdr:cNvPicPr>
          <a:picLocks noChangeAspect="1"/>
        </xdr:cNvPicPr>
      </xdr:nvPicPr>
      <xdr:blipFill rotWithShape="1">
        <a:blip xmlns:r="http://schemas.openxmlformats.org/officeDocument/2006/relationships" r:embed="rId13"/>
        <a:srcRect l="5071"/>
        <a:stretch/>
      </xdr:blipFill>
      <xdr:spPr>
        <a:xfrm>
          <a:off x="0" y="17526000"/>
          <a:ext cx="6782081" cy="7164848"/>
        </a:xfrm>
        <a:prstGeom prst="rect">
          <a:avLst/>
        </a:prstGeom>
      </xdr:spPr>
    </xdr:pic>
    <xdr:clientData/>
  </xdr:twoCellAnchor>
  <xdr:twoCellAnchor editAs="oneCell">
    <xdr:from>
      <xdr:col>0</xdr:col>
      <xdr:colOff>123265</xdr:colOff>
      <xdr:row>228</xdr:row>
      <xdr:rowOff>128622</xdr:rowOff>
    </xdr:from>
    <xdr:to>
      <xdr:col>9</xdr:col>
      <xdr:colOff>22412</xdr:colOff>
      <xdr:row>238</xdr:row>
      <xdr:rowOff>78209</xdr:rowOff>
    </xdr:to>
    <xdr:pic>
      <xdr:nvPicPr>
        <xdr:cNvPr id="10" name="Grafik 9">
          <a:extLst>
            <a:ext uri="{FF2B5EF4-FFF2-40B4-BE49-F238E27FC236}">
              <a16:creationId xmlns:a16="http://schemas.microsoft.com/office/drawing/2014/main" id="{7B86F15E-6A24-D211-A548-FB83D8994549}"/>
            </a:ext>
          </a:extLst>
        </xdr:cNvPr>
        <xdr:cNvPicPr>
          <a:picLocks noChangeAspect="1"/>
        </xdr:cNvPicPr>
      </xdr:nvPicPr>
      <xdr:blipFill>
        <a:blip xmlns:r="http://schemas.openxmlformats.org/officeDocument/2006/relationships" r:embed="rId14"/>
        <a:stretch>
          <a:fillRect/>
        </a:stretch>
      </xdr:blipFill>
      <xdr:spPr>
        <a:xfrm>
          <a:off x="123265" y="35987446"/>
          <a:ext cx="6353735" cy="1518410"/>
        </a:xfrm>
        <a:prstGeom prst="rect">
          <a:avLst/>
        </a:prstGeom>
      </xdr:spPr>
    </xdr:pic>
    <xdr:clientData/>
  </xdr:twoCellAnchor>
  <xdr:twoCellAnchor editAs="oneCell">
    <xdr:from>
      <xdr:col>0</xdr:col>
      <xdr:colOff>33617</xdr:colOff>
      <xdr:row>239</xdr:row>
      <xdr:rowOff>78443</xdr:rowOff>
    </xdr:from>
    <xdr:to>
      <xdr:col>9</xdr:col>
      <xdr:colOff>272922</xdr:colOff>
      <xdr:row>270</xdr:row>
      <xdr:rowOff>117974</xdr:rowOff>
    </xdr:to>
    <xdr:pic>
      <xdr:nvPicPr>
        <xdr:cNvPr id="11" name="Grafik 10">
          <a:extLst>
            <a:ext uri="{FF2B5EF4-FFF2-40B4-BE49-F238E27FC236}">
              <a16:creationId xmlns:a16="http://schemas.microsoft.com/office/drawing/2014/main" id="{3FD377EA-1D6F-D2A4-6C91-FB5E44267120}"/>
            </a:ext>
          </a:extLst>
        </xdr:cNvPr>
        <xdr:cNvPicPr>
          <a:picLocks noChangeAspect="1"/>
        </xdr:cNvPicPr>
      </xdr:nvPicPr>
      <xdr:blipFill>
        <a:blip xmlns:r="http://schemas.openxmlformats.org/officeDocument/2006/relationships" r:embed="rId15"/>
        <a:stretch>
          <a:fillRect/>
        </a:stretch>
      </xdr:blipFill>
      <xdr:spPr>
        <a:xfrm>
          <a:off x="33617" y="37662972"/>
          <a:ext cx="6693893" cy="4902884"/>
        </a:xfrm>
        <a:prstGeom prst="rect">
          <a:avLst/>
        </a:prstGeom>
      </xdr:spPr>
    </xdr:pic>
    <xdr:clientData/>
  </xdr:twoCellAnchor>
  <xdr:twoCellAnchor editAs="oneCell">
    <xdr:from>
      <xdr:col>0</xdr:col>
      <xdr:colOff>100852</xdr:colOff>
      <xdr:row>198</xdr:row>
      <xdr:rowOff>123265</xdr:rowOff>
    </xdr:from>
    <xdr:to>
      <xdr:col>9</xdr:col>
      <xdr:colOff>133064</xdr:colOff>
      <xdr:row>226</xdr:row>
      <xdr:rowOff>129653</xdr:rowOff>
    </xdr:to>
    <xdr:pic>
      <xdr:nvPicPr>
        <xdr:cNvPr id="12" name="Grafik 11">
          <a:extLst>
            <a:ext uri="{FF2B5EF4-FFF2-40B4-BE49-F238E27FC236}">
              <a16:creationId xmlns:a16="http://schemas.microsoft.com/office/drawing/2014/main" id="{D32822C9-6F5A-2D3B-2E5B-487D75952F17}"/>
            </a:ext>
          </a:extLst>
        </xdr:cNvPr>
        <xdr:cNvPicPr>
          <a:picLocks noChangeAspect="1"/>
        </xdr:cNvPicPr>
      </xdr:nvPicPr>
      <xdr:blipFill>
        <a:blip xmlns:r="http://schemas.openxmlformats.org/officeDocument/2006/relationships" r:embed="rId16"/>
        <a:stretch>
          <a:fillRect/>
        </a:stretch>
      </xdr:blipFill>
      <xdr:spPr>
        <a:xfrm>
          <a:off x="100852" y="31275618"/>
          <a:ext cx="6486800" cy="4399094"/>
        </a:xfrm>
        <a:prstGeom prst="rect">
          <a:avLst/>
        </a:prstGeom>
      </xdr:spPr>
    </xdr:pic>
    <xdr:clientData/>
  </xdr:twoCellAnchor>
  <xdr:twoCellAnchor editAs="oneCell">
    <xdr:from>
      <xdr:col>0</xdr:col>
      <xdr:colOff>145677</xdr:colOff>
      <xdr:row>271</xdr:row>
      <xdr:rowOff>91191</xdr:rowOff>
    </xdr:from>
    <xdr:to>
      <xdr:col>9</xdr:col>
      <xdr:colOff>156883</xdr:colOff>
      <xdr:row>303</xdr:row>
      <xdr:rowOff>150145</xdr:rowOff>
    </xdr:to>
    <xdr:pic>
      <xdr:nvPicPr>
        <xdr:cNvPr id="13" name="Grafik 12">
          <a:extLst>
            <a:ext uri="{FF2B5EF4-FFF2-40B4-BE49-F238E27FC236}">
              <a16:creationId xmlns:a16="http://schemas.microsoft.com/office/drawing/2014/main" id="{0DA17895-7F7B-2817-2DFE-A93A74D2167E}"/>
            </a:ext>
          </a:extLst>
        </xdr:cNvPr>
        <xdr:cNvPicPr>
          <a:picLocks noChangeAspect="1"/>
        </xdr:cNvPicPr>
      </xdr:nvPicPr>
      <xdr:blipFill>
        <a:blip xmlns:r="http://schemas.openxmlformats.org/officeDocument/2006/relationships" r:embed="rId17"/>
        <a:stretch>
          <a:fillRect/>
        </a:stretch>
      </xdr:blipFill>
      <xdr:spPr>
        <a:xfrm>
          <a:off x="145677" y="42695956"/>
          <a:ext cx="6465794" cy="5079189"/>
        </a:xfrm>
        <a:prstGeom prst="rect">
          <a:avLst/>
        </a:prstGeom>
      </xdr:spPr>
    </xdr:pic>
    <xdr:clientData/>
  </xdr:twoCellAnchor>
  <xdr:twoCellAnchor editAs="oneCell">
    <xdr:from>
      <xdr:col>0</xdr:col>
      <xdr:colOff>0</xdr:colOff>
      <xdr:row>306</xdr:row>
      <xdr:rowOff>56033</xdr:rowOff>
    </xdr:from>
    <xdr:to>
      <xdr:col>9</xdr:col>
      <xdr:colOff>112059</xdr:colOff>
      <xdr:row>323</xdr:row>
      <xdr:rowOff>147937</xdr:rowOff>
    </xdr:to>
    <xdr:pic>
      <xdr:nvPicPr>
        <xdr:cNvPr id="15" name="Grafik 14">
          <a:extLst>
            <a:ext uri="{FF2B5EF4-FFF2-40B4-BE49-F238E27FC236}">
              <a16:creationId xmlns:a16="http://schemas.microsoft.com/office/drawing/2014/main" id="{77188BFB-9828-A04B-4788-BEC7DE2289C5}"/>
            </a:ext>
          </a:extLst>
        </xdr:cNvPr>
        <xdr:cNvPicPr>
          <a:picLocks noChangeAspect="1"/>
        </xdr:cNvPicPr>
      </xdr:nvPicPr>
      <xdr:blipFill>
        <a:blip xmlns:r="http://schemas.openxmlformats.org/officeDocument/2006/relationships" r:embed="rId18"/>
        <a:stretch>
          <a:fillRect/>
        </a:stretch>
      </xdr:blipFill>
      <xdr:spPr>
        <a:xfrm>
          <a:off x="0" y="48151680"/>
          <a:ext cx="6566647" cy="275890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5</xdr:col>
      <xdr:colOff>59267</xdr:colOff>
      <xdr:row>0</xdr:row>
      <xdr:rowOff>95250</xdr:rowOff>
    </xdr:from>
    <xdr:to>
      <xdr:col>6</xdr:col>
      <xdr:colOff>609600</xdr:colOff>
      <xdr:row>3</xdr:row>
      <xdr:rowOff>128800</xdr:rowOff>
    </xdr:to>
    <xdr:pic>
      <xdr:nvPicPr>
        <xdr:cNvPr id="7212189" name="Picture 336" descr="Österreichische Energie Agentur">
          <a:hlinkClick xmlns:r="http://schemas.openxmlformats.org/officeDocument/2006/relationships" r:id="rId1"/>
          <a:extLst>
            <a:ext uri="{FF2B5EF4-FFF2-40B4-BE49-F238E27FC236}">
              <a16:creationId xmlns:a16="http://schemas.microsoft.com/office/drawing/2014/main" id="{00000000-0008-0000-0200-00009D0C6E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387600" y="95250"/>
          <a:ext cx="1253067" cy="541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342900</xdr:colOff>
      <xdr:row>24</xdr:row>
      <xdr:rowOff>66675</xdr:rowOff>
    </xdr:from>
    <xdr:to>
      <xdr:col>6</xdr:col>
      <xdr:colOff>95250</xdr:colOff>
      <xdr:row>29</xdr:row>
      <xdr:rowOff>0</xdr:rowOff>
    </xdr:to>
    <xdr:pic>
      <xdr:nvPicPr>
        <xdr:cNvPr id="7212192" name="Picture 74" descr="Neigung_fertig">
          <a:extLst>
            <a:ext uri="{FF2B5EF4-FFF2-40B4-BE49-F238E27FC236}">
              <a16:creationId xmlns:a16="http://schemas.microsoft.com/office/drawing/2014/main" id="{00000000-0008-0000-0200-0000A00C6E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r="-23276"/>
        <a:stretch>
          <a:fillRect/>
        </a:stretch>
      </xdr:blipFill>
      <xdr:spPr bwMode="auto">
        <a:xfrm>
          <a:off x="1447800" y="4162425"/>
          <a:ext cx="1581150" cy="809625"/>
        </a:xfrm>
        <a:prstGeom prst="rect">
          <a:avLst/>
        </a:prstGeom>
        <a:solidFill>
          <a:srgbClr val="FFFFFF"/>
        </a:solidFill>
        <a:ln w="3175">
          <a:solidFill>
            <a:srgbClr val="7F7F7F"/>
          </a:solidFill>
          <a:miter lim="800000"/>
          <a:headEnd/>
          <a:tailEnd/>
        </a:ln>
      </xdr:spPr>
    </xdr:pic>
    <xdr:clientData/>
  </xdr:twoCellAnchor>
  <xdr:twoCellAnchor>
    <xdr:from>
      <xdr:col>5</xdr:col>
      <xdr:colOff>180975</xdr:colOff>
      <xdr:row>24</xdr:row>
      <xdr:rowOff>76200</xdr:rowOff>
    </xdr:from>
    <xdr:to>
      <xdr:col>6</xdr:col>
      <xdr:colOff>9525</xdr:colOff>
      <xdr:row>26</xdr:row>
      <xdr:rowOff>95250</xdr:rowOff>
    </xdr:to>
    <xdr:sp macro="" textlink="">
      <xdr:nvSpPr>
        <xdr:cNvPr id="7212193" name="AutoShape 76">
          <a:extLst>
            <a:ext uri="{FF2B5EF4-FFF2-40B4-BE49-F238E27FC236}">
              <a16:creationId xmlns:a16="http://schemas.microsoft.com/office/drawing/2014/main" id="{00000000-0008-0000-0200-0000A10C6E00}"/>
            </a:ext>
          </a:extLst>
        </xdr:cNvPr>
        <xdr:cNvSpPr>
          <a:spLocks noChangeArrowheads="1"/>
        </xdr:cNvSpPr>
      </xdr:nvSpPr>
      <xdr:spPr bwMode="auto">
        <a:xfrm>
          <a:off x="2438400" y="4171950"/>
          <a:ext cx="514350" cy="409575"/>
        </a:xfrm>
        <a:prstGeom prst="sun">
          <a:avLst>
            <a:gd name="adj" fmla="val 29514"/>
          </a:avLst>
        </a:prstGeom>
        <a:solidFill>
          <a:srgbClr val="FFC000"/>
        </a:solidFill>
        <a:ln w="9525">
          <a:solidFill>
            <a:srgbClr val="F8FEB0"/>
          </a:solidFill>
          <a:miter lim="800000"/>
          <a:headEnd/>
          <a:tailEnd/>
        </a:ln>
      </xdr:spPr>
    </xdr:sp>
    <xdr:clientData/>
  </xdr:twoCellAnchor>
  <xdr:twoCellAnchor editAs="oneCell">
    <xdr:from>
      <xdr:col>3</xdr:col>
      <xdr:colOff>342900</xdr:colOff>
      <xdr:row>18</xdr:row>
      <xdr:rowOff>28575</xdr:rowOff>
    </xdr:from>
    <xdr:to>
      <xdr:col>6</xdr:col>
      <xdr:colOff>95250</xdr:colOff>
      <xdr:row>23</xdr:row>
      <xdr:rowOff>38100</xdr:rowOff>
    </xdr:to>
    <xdr:pic>
      <xdr:nvPicPr>
        <xdr:cNvPr id="7212194" name="Grafik 1">
          <a:extLst>
            <a:ext uri="{FF2B5EF4-FFF2-40B4-BE49-F238E27FC236}">
              <a16:creationId xmlns:a16="http://schemas.microsoft.com/office/drawing/2014/main" id="{00000000-0008-0000-0200-0000A20C6E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2383" t="4097" r="2492" b="5772"/>
        <a:stretch>
          <a:fillRect/>
        </a:stretch>
      </xdr:blipFill>
      <xdr:spPr bwMode="auto">
        <a:xfrm>
          <a:off x="1447800" y="3219450"/>
          <a:ext cx="1581150" cy="819150"/>
        </a:xfrm>
        <a:prstGeom prst="rect">
          <a:avLst/>
        </a:prstGeom>
        <a:noFill/>
        <a:ln w="3175">
          <a:solidFill>
            <a:srgbClr val="7F7F7F"/>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9525</xdr:colOff>
      <xdr:row>95</xdr:row>
      <xdr:rowOff>0</xdr:rowOff>
    </xdr:from>
    <xdr:to>
      <xdr:col>18</xdr:col>
      <xdr:colOff>704850</xdr:colOff>
      <xdr:row>122</xdr:row>
      <xdr:rowOff>104775</xdr:rowOff>
    </xdr:to>
    <xdr:graphicFrame macro="">
      <xdr:nvGraphicFramePr>
        <xdr:cNvPr id="7212195" name="Diagramm 1">
          <a:extLst>
            <a:ext uri="{FF2B5EF4-FFF2-40B4-BE49-F238E27FC236}">
              <a16:creationId xmlns:a16="http://schemas.microsoft.com/office/drawing/2014/main" id="{00000000-0008-0000-0200-0000A3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xdr:col>
      <xdr:colOff>95250</xdr:colOff>
      <xdr:row>66</xdr:row>
      <xdr:rowOff>104775</xdr:rowOff>
    </xdr:from>
    <xdr:to>
      <xdr:col>18</xdr:col>
      <xdr:colOff>666750</xdr:colOff>
      <xdr:row>90</xdr:row>
      <xdr:rowOff>123825</xdr:rowOff>
    </xdr:to>
    <xdr:graphicFrame macro="">
      <xdr:nvGraphicFramePr>
        <xdr:cNvPr id="7212196" name="Diagramm 68">
          <a:extLst>
            <a:ext uri="{FF2B5EF4-FFF2-40B4-BE49-F238E27FC236}">
              <a16:creationId xmlns:a16="http://schemas.microsoft.com/office/drawing/2014/main" id="{00000000-0008-0000-0200-0000A4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15</xdr:col>
      <xdr:colOff>619125</xdr:colOff>
      <xdr:row>25</xdr:row>
      <xdr:rowOff>95250</xdr:rowOff>
    </xdr:from>
    <xdr:to>
      <xdr:col>18</xdr:col>
      <xdr:colOff>647700</xdr:colOff>
      <xdr:row>42</xdr:row>
      <xdr:rowOff>66675</xdr:rowOff>
    </xdr:to>
    <xdr:graphicFrame macro="">
      <xdr:nvGraphicFramePr>
        <xdr:cNvPr id="7212197" name="Diagramm 5">
          <a:extLst>
            <a:ext uri="{FF2B5EF4-FFF2-40B4-BE49-F238E27FC236}">
              <a16:creationId xmlns:a16="http://schemas.microsoft.com/office/drawing/2014/main" id="{00000000-0008-0000-0200-0000A5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xdr:col>
      <xdr:colOff>114300</xdr:colOff>
      <xdr:row>25</xdr:row>
      <xdr:rowOff>66675</xdr:rowOff>
    </xdr:from>
    <xdr:to>
      <xdr:col>15</xdr:col>
      <xdr:colOff>676275</xdr:colOff>
      <xdr:row>40</xdr:row>
      <xdr:rowOff>152400</xdr:rowOff>
    </xdr:to>
    <xdr:graphicFrame macro="">
      <xdr:nvGraphicFramePr>
        <xdr:cNvPr id="7212198" name="Diagramm 30">
          <a:extLst>
            <a:ext uri="{FF2B5EF4-FFF2-40B4-BE49-F238E27FC236}">
              <a16:creationId xmlns:a16="http://schemas.microsoft.com/office/drawing/2014/main" id="{00000000-0008-0000-0200-0000A6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12</xdr:col>
      <xdr:colOff>219075</xdr:colOff>
      <xdr:row>44</xdr:row>
      <xdr:rowOff>95250</xdr:rowOff>
    </xdr:from>
    <xdr:to>
      <xdr:col>18</xdr:col>
      <xdr:colOff>714375</xdr:colOff>
      <xdr:row>62</xdr:row>
      <xdr:rowOff>85725</xdr:rowOff>
    </xdr:to>
    <xdr:graphicFrame macro="">
      <xdr:nvGraphicFramePr>
        <xdr:cNvPr id="7212199" name="Diagramm 4">
          <a:extLst>
            <a:ext uri="{FF2B5EF4-FFF2-40B4-BE49-F238E27FC236}">
              <a16:creationId xmlns:a16="http://schemas.microsoft.com/office/drawing/2014/main" id="{00000000-0008-0000-0200-0000A7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16</xdr:col>
      <xdr:colOff>511970</xdr:colOff>
      <xdr:row>37</xdr:row>
      <xdr:rowOff>0</xdr:rowOff>
    </xdr:from>
    <xdr:to>
      <xdr:col>18</xdr:col>
      <xdr:colOff>357189</xdr:colOff>
      <xdr:row>40</xdr:row>
      <xdr:rowOff>107157</xdr:rowOff>
    </xdr:to>
    <xdr:sp macro="" textlink="">
      <xdr:nvSpPr>
        <xdr:cNvPr id="7" name="Textfeld 6">
          <a:extLst>
            <a:ext uri="{FF2B5EF4-FFF2-40B4-BE49-F238E27FC236}">
              <a16:creationId xmlns:a16="http://schemas.microsoft.com/office/drawing/2014/main" id="{00000000-0008-0000-0200-000007000000}"/>
            </a:ext>
          </a:extLst>
        </xdr:cNvPr>
        <xdr:cNvSpPr txBox="1"/>
      </xdr:nvSpPr>
      <xdr:spPr bwMode="auto">
        <a:xfrm>
          <a:off x="11049001" y="6155531"/>
          <a:ext cx="1369219" cy="607220"/>
        </a:xfrm>
        <a:prstGeom prst="rect">
          <a:avLst/>
        </a:prstGeom>
        <a:solidFill>
          <a:schemeClr val="bg1">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lnSpc>
              <a:spcPts val="300"/>
            </a:lnSpc>
            <a:spcBef>
              <a:spcPts val="0"/>
            </a:spcBef>
          </a:pPr>
          <a:r>
            <a:rPr lang="de-DE" sz="1000">
              <a:latin typeface="+mn-lt"/>
              <a:cs typeface="Arial" pitchFamily="34" charset="0"/>
            </a:rPr>
            <a:t>Einspeisung ins Netz</a:t>
          </a:r>
        </a:p>
        <a:p>
          <a:pPr algn="l">
            <a:lnSpc>
              <a:spcPts val="2200"/>
            </a:lnSpc>
            <a:spcBef>
              <a:spcPts val="0"/>
            </a:spcBef>
          </a:pPr>
          <a:r>
            <a:rPr lang="de-DE" sz="1000">
              <a:solidFill>
                <a:sysClr val="windowText" lastClr="000000"/>
              </a:solidFill>
              <a:latin typeface="+mn-lt"/>
              <a:cs typeface="Arial" pitchFamily="34" charset="0"/>
            </a:rPr>
            <a:t>Eigenverbrauch</a:t>
          </a:r>
        </a:p>
      </xdr:txBody>
    </xdr:sp>
    <xdr:clientData/>
  </xdr:twoCellAnchor>
  <xdr:twoCellAnchor editAs="oneCell">
    <xdr:from>
      <xdr:col>2</xdr:col>
      <xdr:colOff>76200</xdr:colOff>
      <xdr:row>0</xdr:row>
      <xdr:rowOff>95250</xdr:rowOff>
    </xdr:from>
    <xdr:to>
      <xdr:col>4</xdr:col>
      <xdr:colOff>59055</xdr:colOff>
      <xdr:row>3</xdr:row>
      <xdr:rowOff>129540</xdr:rowOff>
    </xdr:to>
    <xdr:pic>
      <xdr:nvPicPr>
        <xdr:cNvPr id="7212201" name="Grafik 2">
          <a:hlinkClick xmlns:r="http://schemas.openxmlformats.org/officeDocument/2006/relationships" r:id="rId10"/>
          <a:extLst>
            <a:ext uri="{FF2B5EF4-FFF2-40B4-BE49-F238E27FC236}">
              <a16:creationId xmlns:a16="http://schemas.microsoft.com/office/drawing/2014/main" id="{00000000-0008-0000-0200-0000A90C6E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42875" y="95250"/>
          <a:ext cx="1619250" cy="523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334434</xdr:colOff>
      <xdr:row>1</xdr:row>
      <xdr:rowOff>63500</xdr:rowOff>
    </xdr:from>
    <xdr:to>
      <xdr:col>9</xdr:col>
      <xdr:colOff>300416</xdr:colOff>
      <xdr:row>3</xdr:row>
      <xdr:rowOff>1587</xdr:rowOff>
    </xdr:to>
    <xdr:pic>
      <xdr:nvPicPr>
        <xdr:cNvPr id="7212202" name="Grafik 2">
          <a:hlinkClick xmlns:r="http://schemas.openxmlformats.org/officeDocument/2006/relationships" r:id="rId12"/>
          <a:extLst>
            <a:ext uri="{FF2B5EF4-FFF2-40B4-BE49-F238E27FC236}">
              <a16:creationId xmlns:a16="http://schemas.microsoft.com/office/drawing/2014/main" id="{00000000-0008-0000-0200-0000AA0C6E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119034" y="232833"/>
          <a:ext cx="2229908" cy="2645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428625</xdr:colOff>
      <xdr:row>37</xdr:row>
      <xdr:rowOff>66675</xdr:rowOff>
    </xdr:from>
    <xdr:to>
      <xdr:col>16</xdr:col>
      <xdr:colOff>590550</xdr:colOff>
      <xdr:row>39</xdr:row>
      <xdr:rowOff>97155</xdr:rowOff>
    </xdr:to>
    <xdr:pic>
      <xdr:nvPicPr>
        <xdr:cNvPr id="7212203" name="Grafik 7">
          <a:extLst>
            <a:ext uri="{FF2B5EF4-FFF2-40B4-BE49-F238E27FC236}">
              <a16:creationId xmlns:a16="http://schemas.microsoft.com/office/drawing/2014/main" id="{00000000-0008-0000-0200-0000AB0C6E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11001375" y="6153150"/>
          <a:ext cx="1524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45509</xdr:colOff>
      <xdr:row>9</xdr:row>
      <xdr:rowOff>68791</xdr:rowOff>
    </xdr:from>
    <xdr:to>
      <xdr:col>18</xdr:col>
      <xdr:colOff>645584</xdr:colOff>
      <xdr:row>22</xdr:row>
      <xdr:rowOff>135466</xdr:rowOff>
    </xdr:to>
    <xdr:graphicFrame macro="">
      <xdr:nvGraphicFramePr>
        <xdr:cNvPr id="7212205" name="Mischfördertarif">
          <a:extLst>
            <a:ext uri="{FF2B5EF4-FFF2-40B4-BE49-F238E27FC236}">
              <a16:creationId xmlns:a16="http://schemas.microsoft.com/office/drawing/2014/main" id="{00000000-0008-0000-0200-0000AD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fLocksWithSheet="0"/>
  </xdr:twoCellAnchor>
  <xdr:twoCellAnchor>
    <xdr:from>
      <xdr:col>12</xdr:col>
      <xdr:colOff>29633</xdr:colOff>
      <xdr:row>10</xdr:row>
      <xdr:rowOff>56093</xdr:rowOff>
    </xdr:from>
    <xdr:to>
      <xdr:col>18</xdr:col>
      <xdr:colOff>677333</xdr:colOff>
      <xdr:row>22</xdr:row>
      <xdr:rowOff>82551</xdr:rowOff>
    </xdr:to>
    <xdr:graphicFrame macro="">
      <xdr:nvGraphicFramePr>
        <xdr:cNvPr id="7212204" name="Förderquote">
          <a:extLst>
            <a:ext uri="{FF2B5EF4-FFF2-40B4-BE49-F238E27FC236}">
              <a16:creationId xmlns:a16="http://schemas.microsoft.com/office/drawing/2014/main" id="{00000000-0008-0000-0200-0000AC0C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fLocksWithSheet="0"/>
  </xdr:twoCellAnchor>
</xdr:wsDr>
</file>

<file path=xl/drawings/drawing4.xml><?xml version="1.0" encoding="utf-8"?>
<xdr:wsDr xmlns:xdr="http://schemas.openxmlformats.org/drawingml/2006/spreadsheetDrawing" xmlns:a="http://schemas.openxmlformats.org/drawingml/2006/main">
  <xdr:twoCellAnchor>
    <xdr:from>
      <xdr:col>4</xdr:col>
      <xdr:colOff>495300</xdr:colOff>
      <xdr:row>1</xdr:row>
      <xdr:rowOff>9525</xdr:rowOff>
    </xdr:from>
    <xdr:to>
      <xdr:col>5</xdr:col>
      <xdr:colOff>571500</xdr:colOff>
      <xdr:row>2</xdr:row>
      <xdr:rowOff>66675</xdr:rowOff>
    </xdr:to>
    <xdr:pic>
      <xdr:nvPicPr>
        <xdr:cNvPr id="7251998" name="Picture 118" descr="Österreichische Energie Agentur">
          <a:hlinkClick xmlns:r="http://schemas.openxmlformats.org/officeDocument/2006/relationships" r:id="rId1"/>
          <a:extLst>
            <a:ext uri="{FF2B5EF4-FFF2-40B4-BE49-F238E27FC236}">
              <a16:creationId xmlns:a16="http://schemas.microsoft.com/office/drawing/2014/main" id="{00000000-0008-0000-0300-00001EA86E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676400" y="171450"/>
          <a:ext cx="59055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228600</xdr:colOff>
      <xdr:row>0</xdr:row>
      <xdr:rowOff>95250</xdr:rowOff>
    </xdr:from>
    <xdr:to>
      <xdr:col>4</xdr:col>
      <xdr:colOff>47625</xdr:colOff>
      <xdr:row>2</xdr:row>
      <xdr:rowOff>152400</xdr:rowOff>
    </xdr:to>
    <xdr:pic>
      <xdr:nvPicPr>
        <xdr:cNvPr id="7252001" name="Grafik 9">
          <a:hlinkClick xmlns:r="http://schemas.openxmlformats.org/officeDocument/2006/relationships" r:id="rId3"/>
          <a:extLst>
            <a:ext uri="{FF2B5EF4-FFF2-40B4-BE49-F238E27FC236}">
              <a16:creationId xmlns:a16="http://schemas.microsoft.com/office/drawing/2014/main" id="{00000000-0008-0000-0300-000021A86E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 y="95250"/>
          <a:ext cx="1171575"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381000</xdr:colOff>
      <xdr:row>1</xdr:row>
      <xdr:rowOff>9525</xdr:rowOff>
    </xdr:from>
    <xdr:to>
      <xdr:col>9</xdr:col>
      <xdr:colOff>314325</xdr:colOff>
      <xdr:row>2</xdr:row>
      <xdr:rowOff>28575</xdr:rowOff>
    </xdr:to>
    <xdr:pic>
      <xdr:nvPicPr>
        <xdr:cNvPr id="7252002" name="Grafik 2">
          <a:hlinkClick xmlns:r="http://schemas.openxmlformats.org/officeDocument/2006/relationships" r:id="rId5"/>
          <a:extLst>
            <a:ext uri="{FF2B5EF4-FFF2-40B4-BE49-F238E27FC236}">
              <a16:creationId xmlns:a16="http://schemas.microsoft.com/office/drawing/2014/main" id="{00000000-0008-0000-0300-000022A86E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67000" y="171450"/>
          <a:ext cx="1476375"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xdr:col>
      <xdr:colOff>190500</xdr:colOff>
      <xdr:row>0</xdr:row>
      <xdr:rowOff>57150</xdr:rowOff>
    </xdr:from>
    <xdr:to>
      <xdr:col>4</xdr:col>
      <xdr:colOff>371475</xdr:colOff>
      <xdr:row>3</xdr:row>
      <xdr:rowOff>0</xdr:rowOff>
    </xdr:to>
    <xdr:pic>
      <xdr:nvPicPr>
        <xdr:cNvPr id="7253022" name="Picture 28" descr="Österreichische Energie Agentur">
          <a:hlinkClick xmlns:r="http://schemas.openxmlformats.org/officeDocument/2006/relationships" r:id="rId1"/>
          <a:extLst>
            <a:ext uri="{FF2B5EF4-FFF2-40B4-BE49-F238E27FC236}">
              <a16:creationId xmlns:a16="http://schemas.microsoft.com/office/drawing/2014/main" id="{00000000-0008-0000-0400-00001EAC6E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885950" y="57150"/>
          <a:ext cx="10763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38100</xdr:colOff>
      <xdr:row>0</xdr:row>
      <xdr:rowOff>66675</xdr:rowOff>
    </xdr:from>
    <xdr:to>
      <xdr:col>2</xdr:col>
      <xdr:colOff>704850</xdr:colOff>
      <xdr:row>3</xdr:row>
      <xdr:rowOff>53340</xdr:rowOff>
    </xdr:to>
    <xdr:pic>
      <xdr:nvPicPr>
        <xdr:cNvPr id="7253025" name="Grafik 8">
          <a:hlinkClick xmlns:r="http://schemas.openxmlformats.org/officeDocument/2006/relationships" r:id="rId3"/>
          <a:extLst>
            <a:ext uri="{FF2B5EF4-FFF2-40B4-BE49-F238E27FC236}">
              <a16:creationId xmlns:a16="http://schemas.microsoft.com/office/drawing/2014/main" id="{00000000-0008-0000-0400-000021AC6E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725" y="66675"/>
          <a:ext cx="1438275"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733425</xdr:colOff>
      <xdr:row>1</xdr:row>
      <xdr:rowOff>19050</xdr:rowOff>
    </xdr:from>
    <xdr:to>
      <xdr:col>7</xdr:col>
      <xdr:colOff>358140</xdr:colOff>
      <xdr:row>2</xdr:row>
      <xdr:rowOff>76200</xdr:rowOff>
    </xdr:to>
    <xdr:pic>
      <xdr:nvPicPr>
        <xdr:cNvPr id="7253026" name="Grafik 2">
          <a:hlinkClick xmlns:r="http://schemas.openxmlformats.org/officeDocument/2006/relationships" r:id="rId5"/>
          <a:extLst>
            <a:ext uri="{FF2B5EF4-FFF2-40B4-BE49-F238E27FC236}">
              <a16:creationId xmlns:a16="http://schemas.microsoft.com/office/drawing/2014/main" id="{00000000-0008-0000-0400-000022AC6E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324225" y="180975"/>
          <a:ext cx="1800225"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5</xdr:col>
      <xdr:colOff>438150</xdr:colOff>
      <xdr:row>0</xdr:row>
      <xdr:rowOff>38100</xdr:rowOff>
    </xdr:from>
    <xdr:to>
      <xdr:col>6</xdr:col>
      <xdr:colOff>447675</xdr:colOff>
      <xdr:row>1</xdr:row>
      <xdr:rowOff>171450</xdr:rowOff>
    </xdr:to>
    <xdr:pic>
      <xdr:nvPicPr>
        <xdr:cNvPr id="7254046" name="Picture 26" descr="Österreichische Energie Agentur">
          <a:hlinkClick xmlns:r="http://schemas.openxmlformats.org/officeDocument/2006/relationships" r:id="rId1"/>
          <a:extLst>
            <a:ext uri="{FF2B5EF4-FFF2-40B4-BE49-F238E27FC236}">
              <a16:creationId xmlns:a16="http://schemas.microsoft.com/office/drawing/2014/main" id="{00000000-0008-0000-0500-00001EB06E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933700" y="38100"/>
          <a:ext cx="73342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266700</xdr:colOff>
      <xdr:row>0</xdr:row>
      <xdr:rowOff>38100</xdr:rowOff>
    </xdr:from>
    <xdr:to>
      <xdr:col>5</xdr:col>
      <xdr:colOff>120015</xdr:colOff>
      <xdr:row>2</xdr:row>
      <xdr:rowOff>15240</xdr:rowOff>
    </xdr:to>
    <xdr:pic>
      <xdr:nvPicPr>
        <xdr:cNvPr id="7254049" name="Grafik 9">
          <a:hlinkClick xmlns:r="http://schemas.openxmlformats.org/officeDocument/2006/relationships" r:id="rId3"/>
          <a:extLst>
            <a:ext uri="{FF2B5EF4-FFF2-40B4-BE49-F238E27FC236}">
              <a16:creationId xmlns:a16="http://schemas.microsoft.com/office/drawing/2014/main" id="{00000000-0008-0000-0500-000021B06E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657350" y="38100"/>
          <a:ext cx="1000125"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676275</xdr:colOff>
      <xdr:row>0</xdr:row>
      <xdr:rowOff>104775</xdr:rowOff>
    </xdr:from>
    <xdr:to>
      <xdr:col>8</xdr:col>
      <xdr:colOff>548640</xdr:colOff>
      <xdr:row>1</xdr:row>
      <xdr:rowOff>95250</xdr:rowOff>
    </xdr:to>
    <xdr:pic>
      <xdr:nvPicPr>
        <xdr:cNvPr id="7254050" name="Grafik 2">
          <a:hlinkClick xmlns:r="http://schemas.openxmlformats.org/officeDocument/2006/relationships" r:id="rId5"/>
          <a:extLst>
            <a:ext uri="{FF2B5EF4-FFF2-40B4-BE49-F238E27FC236}">
              <a16:creationId xmlns:a16="http://schemas.microsoft.com/office/drawing/2014/main" id="{00000000-0008-0000-0500-000022B06E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895725" y="104775"/>
          <a:ext cx="1438275"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381000</xdr:colOff>
      <xdr:row>1</xdr:row>
      <xdr:rowOff>228600</xdr:rowOff>
    </xdr:from>
    <xdr:to>
      <xdr:col>14</xdr:col>
      <xdr:colOff>228600</xdr:colOff>
      <xdr:row>33</xdr:row>
      <xdr:rowOff>85725</xdr:rowOff>
    </xdr:to>
    <xdr:graphicFrame macro="">
      <xdr:nvGraphicFramePr>
        <xdr:cNvPr id="7255052" name="Diagramm 1">
          <a:extLst>
            <a:ext uri="{FF2B5EF4-FFF2-40B4-BE49-F238E27FC236}">
              <a16:creationId xmlns:a16="http://schemas.microsoft.com/office/drawing/2014/main" id="{00000000-0008-0000-0800-00000CB46E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16</xdr:col>
      <xdr:colOff>142875</xdr:colOff>
      <xdr:row>4</xdr:row>
      <xdr:rowOff>104775</xdr:rowOff>
    </xdr:from>
    <xdr:to>
      <xdr:col>29</xdr:col>
      <xdr:colOff>123825</xdr:colOff>
      <xdr:row>31</xdr:row>
      <xdr:rowOff>0</xdr:rowOff>
    </xdr:to>
    <xdr:pic>
      <xdr:nvPicPr>
        <xdr:cNvPr id="7255053" name="Picture 2" descr="5F7F186DA5827F59E040A8C03C2F5EF6">
          <a:extLst>
            <a:ext uri="{FF2B5EF4-FFF2-40B4-BE49-F238E27FC236}">
              <a16:creationId xmlns:a16="http://schemas.microsoft.com/office/drawing/2014/main" id="{00000000-0008-0000-0800-00000DB46E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58325" y="1085850"/>
          <a:ext cx="6381750" cy="401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eadaten\projekte\Dokumente%20und%20Einstellungen\fje\Lokale%20Einstellungen\Temporary%20Internet%20Files\OLK47\GenAu.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
      <sheetName val="Multi-String"/>
      <sheetName val="Systemdesign"/>
      <sheetName val="Sunny Boy"/>
      <sheetName val="PV"/>
      <sheetName val="Solar"/>
      <sheetName val="Sprachmodul"/>
    </sheetNames>
    <sheetDataSet>
      <sheetData sheetId="0" refreshError="1"/>
      <sheetData sheetId="1" refreshError="1"/>
      <sheetData sheetId="2" refreshError="1"/>
      <sheetData sheetId="3" refreshError="1"/>
      <sheetData sheetId="4" refreshError="1"/>
      <sheetData sheetId="5" refreshError="1"/>
      <sheetData sheetId="6" refreshError="1">
        <row r="1">
          <cell r="C1" t="str">
            <v>Deutsch</v>
          </cell>
          <cell r="D1" t="str">
            <v>english</v>
          </cell>
          <cell r="E1" t="str">
            <v xml:space="preserve">Francais </v>
          </cell>
          <cell r="F1" t="str">
            <v xml:space="preserve">Espanol </v>
          </cell>
          <cell r="G1" t="str">
            <v>Italiano</v>
          </cell>
          <cell r="H1" t="str">
            <v>Nederlands</v>
          </cell>
          <cell r="I1" t="str">
            <v>Català</v>
          </cell>
          <cell r="J1" t="str">
            <v>Magyar</v>
          </cell>
          <cell r="K1" t="str">
            <v>Português</v>
          </cell>
          <cell r="L1" t="str">
            <v>中文</v>
          </cell>
        </row>
        <row r="2">
          <cell r="C2" t="str">
            <v>Sprache</v>
          </cell>
          <cell r="D2" t="str">
            <v>language</v>
          </cell>
          <cell r="E2" t="str">
            <v>Langue</v>
          </cell>
          <cell r="F2" t="str">
            <v>Lengua</v>
          </cell>
          <cell r="G2" t="str">
            <v>lingua</v>
          </cell>
          <cell r="H2" t="str">
            <v>Taal</v>
          </cell>
          <cell r="I2" t="str">
            <v>Llengua</v>
          </cell>
          <cell r="J2" t="str">
            <v>nyelv</v>
          </cell>
          <cell r="K2" t="str">
            <v>Lingua</v>
          </cell>
          <cell r="L2" t="str">
            <v>语言</v>
          </cell>
        </row>
        <row r="4">
          <cell r="C4" t="str">
            <v xml:space="preserve">PV-Generatorauslegung für Stringwechselrichter </v>
          </cell>
          <cell r="D4" t="str">
            <v>PV generator design for string inverters</v>
          </cell>
          <cell r="E4" t="str">
            <v>Conception de la batterie solaire pour onduleurs "string"</v>
          </cell>
          <cell r="F4" t="str">
            <v>Diseño de la planta fotovoltaica para inversores string</v>
          </cell>
          <cell r="G4" t="str">
            <v xml:space="preserve">Dimensionamento generatore FV per inverter modulari </v>
          </cell>
          <cell r="H4" t="str">
            <v>PV-Generator ontwerp voor  Inverters</v>
          </cell>
          <cell r="I4" t="str">
            <v>Disseny de la planta fotovoltaica per onduladors string</v>
          </cell>
          <cell r="J4" t="str">
            <v>PV-generátorterv összekapcsolt inverterekhez</v>
          </cell>
          <cell r="K4" t="str">
            <v>Desenho da planta fotovoltaica para inverores string</v>
          </cell>
          <cell r="L4" t="str">
            <v>输入串接型逆变器光伏发电站设计</v>
          </cell>
        </row>
        <row r="5">
          <cell r="C5" t="str">
            <v>("String": Reihenschaltung von PV-Modulen)</v>
          </cell>
          <cell r="D5" t="str">
            <v xml:space="preserve">("String": serially connected PV modules) </v>
          </cell>
          <cell r="E5" t="str">
            <v>("String": lignes de modules)</v>
          </cell>
          <cell r="F5" t="str">
            <v>("String": Conexión en serie de Módulos FV)</v>
          </cell>
          <cell r="G5" t="str">
            <v>("stringa": moduli in serie)</v>
          </cell>
          <cell r="H5" t="str">
            <v>("String": PV Modules in serie)</v>
          </cell>
          <cell r="I5" t="str">
            <v>("String": mòduls FV connectades en sèrie)</v>
          </cell>
          <cell r="J5" t="str">
            <v>"Összekapcsolt": PV modulok soros csatlakozása</v>
          </cell>
          <cell r="K5" t="str">
            <v>("String": Ligaçāo dos módulos fotovoltáicos em série)</v>
          </cell>
          <cell r="L5" t="str">
            <v>("串接":光电板串行连接)</v>
          </cell>
        </row>
        <row r="6">
          <cell r="C6" t="str">
            <v>Version</v>
          </cell>
          <cell r="D6" t="str">
            <v>version</v>
          </cell>
          <cell r="E6" t="str">
            <v>Version</v>
          </cell>
          <cell r="F6" t="str">
            <v>Versión</v>
          </cell>
          <cell r="G6" t="str">
            <v>versione</v>
          </cell>
          <cell r="H6" t="str">
            <v>Versie</v>
          </cell>
          <cell r="I6" t="str">
            <v>Versió</v>
          </cell>
          <cell r="J6" t="str">
            <v>verzió</v>
          </cell>
          <cell r="K6" t="str">
            <v>Versão</v>
          </cell>
          <cell r="L6" t="str">
            <v>版本</v>
          </cell>
        </row>
        <row r="7">
          <cell r="C7" t="str">
            <v>Anlagenauslegung</v>
          </cell>
          <cell r="D7" t="str">
            <v>PV plant design</v>
          </cell>
          <cell r="E7" t="str">
            <v>Conception de l'installation</v>
          </cell>
          <cell r="F7" t="str">
            <v>Dimensionamiento de la planta</v>
          </cell>
          <cell r="G7" t="str">
            <v>dimensionamento impianto FV</v>
          </cell>
          <cell r="H7" t="str">
            <v>Installatie Ontwerp</v>
          </cell>
          <cell r="I7" t="str">
            <v>Dimensionament de la planta</v>
          </cell>
          <cell r="J7" t="str">
            <v>PV terv</v>
          </cell>
          <cell r="K7" t="str">
            <v>Dimensionamento da planta</v>
          </cell>
          <cell r="L7" t="str">
            <v>光伏发电站设计</v>
          </cell>
        </row>
        <row r="9">
          <cell r="C9" t="str">
            <v>Wechselrichter</v>
          </cell>
          <cell r="D9" t="str">
            <v>grid connected inverter</v>
          </cell>
          <cell r="E9" t="str">
            <v>Onduleur</v>
          </cell>
          <cell r="F9" t="str">
            <v>Inversor</v>
          </cell>
          <cell r="G9" t="str">
            <v>inverter</v>
          </cell>
          <cell r="H9" t="str">
            <v>Inverter</v>
          </cell>
          <cell r="I9" t="str">
            <v>Ondulador</v>
          </cell>
          <cell r="J9" t="str">
            <v>hálózatba visszatöltős inverter</v>
          </cell>
          <cell r="K9" t="str">
            <v>Inversor</v>
          </cell>
          <cell r="L9" t="str">
            <v>并网逆变器</v>
          </cell>
        </row>
        <row r="10">
          <cell r="C10" t="str">
            <v>WR</v>
          </cell>
          <cell r="D10" t="str">
            <v>GCI</v>
          </cell>
          <cell r="E10" t="str">
            <v>Onduleur</v>
          </cell>
          <cell r="F10" t="str">
            <v>Inversor</v>
          </cell>
          <cell r="G10" t="str">
            <v>WR</v>
          </cell>
          <cell r="H10" t="str">
            <v>WR</v>
          </cell>
          <cell r="I10" t="str">
            <v>Ondulador</v>
          </cell>
          <cell r="J10" t="str">
            <v>GCI</v>
          </cell>
          <cell r="K10" t="str">
            <v>Inversor</v>
          </cell>
          <cell r="L10" t="str">
            <v>,逆变器输入</v>
          </cell>
        </row>
        <row r="11">
          <cell r="C11" t="str">
            <v>Typenbezeichnung</v>
          </cell>
          <cell r="D11" t="str">
            <v>type</v>
          </cell>
          <cell r="E11" t="str">
            <v>Type</v>
          </cell>
          <cell r="F11" t="str">
            <v>Tipo</v>
          </cell>
          <cell r="G11" t="str">
            <v>tipo</v>
          </cell>
          <cell r="H11" t="str">
            <v>Type aanduiding</v>
          </cell>
          <cell r="I11" t="str">
            <v>Tipus</v>
          </cell>
          <cell r="J11" t="str">
            <v>típusmegjelölés</v>
          </cell>
          <cell r="K11" t="str">
            <v>Tipo</v>
          </cell>
          <cell r="L11" t="str">
            <v>逆变器型号</v>
          </cell>
        </row>
        <row r="12">
          <cell r="C12" t="str">
            <v>Kurzbez.</v>
          </cell>
          <cell r="D12" t="str">
            <v>short form</v>
          </cell>
          <cell r="E12" t="str">
            <v>Désignation abrégée</v>
          </cell>
          <cell r="F12" t="str">
            <v>Denominación corta</v>
          </cell>
          <cell r="G12" t="str">
            <v>appr.</v>
          </cell>
          <cell r="H12" t="str">
            <v>Korte uitleg</v>
          </cell>
          <cell r="I12" t="str">
            <v>Abreviatura</v>
          </cell>
          <cell r="J12" t="str">
            <v>rövid forma</v>
          </cell>
          <cell r="K12" t="str">
            <v>Abreviatura</v>
          </cell>
          <cell r="L12" t="str">
            <v>缩写形式</v>
          </cell>
        </row>
        <row r="13">
          <cell r="C13" t="str">
            <v>Eingang</v>
          </cell>
          <cell r="D13" t="str">
            <v>input</v>
          </cell>
          <cell r="E13" t="str">
            <v>entrée</v>
          </cell>
          <cell r="F13" t="str">
            <v>entrada</v>
          </cell>
          <cell r="G13" t="str">
            <v>ingresso</v>
          </cell>
          <cell r="H13" t="str">
            <v>Ingang</v>
          </cell>
          <cell r="I13" t="str">
            <v>entrada</v>
          </cell>
          <cell r="J13" t="str">
            <v>bemenet</v>
          </cell>
          <cell r="K13" t="str">
            <v>Entrada</v>
          </cell>
          <cell r="L13" t="str">
            <v>输入</v>
          </cell>
        </row>
        <row r="14">
          <cell r="C14" t="str">
            <v>Eingangsgrößen</v>
          </cell>
          <cell r="D14" t="str">
            <v>inverter input</v>
          </cell>
          <cell r="E14" t="str">
            <v>Variables d'entrée</v>
          </cell>
          <cell r="F14" t="str">
            <v>Variables de entrada</v>
          </cell>
          <cell r="G14" t="str">
            <v>ingresso inverter</v>
          </cell>
          <cell r="H14" t="str">
            <v>Ingangsvariabelen</v>
          </cell>
          <cell r="I14" t="str">
            <v>Variables d'entrada</v>
          </cell>
          <cell r="J14" t="str">
            <v>Inverter bemenet</v>
          </cell>
          <cell r="K14" t="str">
            <v>Valores da entrada</v>
          </cell>
          <cell r="L14" t="str">
            <v>逆变器输入</v>
          </cell>
        </row>
        <row r="15">
          <cell r="C15" t="str">
            <v>max. DC-Leistung</v>
          </cell>
          <cell r="D15" t="str">
            <v>max. DC power</v>
          </cell>
          <cell r="E15" t="str">
            <v>Puissance CC max.</v>
          </cell>
          <cell r="F15" t="str">
            <v xml:space="preserve">Potencia CC máx. </v>
          </cell>
          <cell r="G15" t="str">
            <v>potenza massima DC</v>
          </cell>
          <cell r="H15" t="str">
            <v>Max DC-vermogen</v>
          </cell>
          <cell r="I15" t="str">
            <v xml:space="preserve">Potència CC màx. </v>
          </cell>
          <cell r="J15" t="str">
            <v>max. DC-teljesítmény</v>
          </cell>
          <cell r="K15" t="str">
            <v>Potência máx. da CC</v>
          </cell>
          <cell r="L15" t="str">
            <v>最大直流功率</v>
          </cell>
        </row>
        <row r="16">
          <cell r="C16" t="str">
            <v>Pdc,max</v>
          </cell>
          <cell r="D16" t="str">
            <v>PDC,max</v>
          </cell>
          <cell r="E16" t="str">
            <v>Pcc, max</v>
          </cell>
          <cell r="F16" t="str">
            <v>Pcc, máx</v>
          </cell>
          <cell r="G16" t="str">
            <v>Pdc, max</v>
          </cell>
          <cell r="H16" t="str">
            <v>Pdc,max</v>
          </cell>
          <cell r="I16" t="str">
            <v>Pcc, màx</v>
          </cell>
          <cell r="J16" t="str">
            <v>PDC, max</v>
          </cell>
          <cell r="K16" t="str">
            <v>Pcc, máx.</v>
          </cell>
          <cell r="L16" t="str">
            <v>PDC,max</v>
          </cell>
        </row>
        <row r="17">
          <cell r="C17" t="str">
            <v>PV-Spannungsbereich, MPPT</v>
          </cell>
          <cell r="D17" t="str">
            <v>PV voltage range, MPPT</v>
          </cell>
          <cell r="E17" t="str">
            <v>Plage de tension PV, MPPT</v>
          </cell>
          <cell r="F17" t="str">
            <v>Campo de voltaje FV, MPPT</v>
          </cell>
          <cell r="G17" t="str">
            <v>tensione d'ingresso, MPPT</v>
          </cell>
          <cell r="H17" t="str">
            <v>PV-Voltage bereik MPPT</v>
          </cell>
          <cell r="I17" t="str">
            <v>Rang de tensió FV, MPPT</v>
          </cell>
          <cell r="J17" t="str">
            <v>PV feszültségi tartomány, MPPT</v>
          </cell>
          <cell r="K17" t="str">
            <v xml:space="preserve">Alcançe da tensão fotovoltáica, MPPT </v>
          </cell>
          <cell r="L17" t="str">
            <v>MPP光伏输入电压范围</v>
          </cell>
        </row>
        <row r="18">
          <cell r="C18" t="str">
            <v>Upv</v>
          </cell>
          <cell r="D18" t="str">
            <v>Vpv</v>
          </cell>
          <cell r="E18" t="str">
            <v>Upv</v>
          </cell>
          <cell r="F18" t="str">
            <v>Vfv</v>
          </cell>
          <cell r="G18" t="str">
            <v>Upv</v>
          </cell>
          <cell r="H18" t="str">
            <v>Upv</v>
          </cell>
          <cell r="I18" t="str">
            <v>Upv</v>
          </cell>
          <cell r="J18" t="str">
            <v>Vpv</v>
          </cell>
          <cell r="K18" t="str">
            <v>Vfv</v>
          </cell>
          <cell r="L18" t="str">
            <v>Vpv</v>
          </cell>
        </row>
        <row r="19">
          <cell r="C19" t="str">
            <v>min. DC-Spannung</v>
          </cell>
          <cell r="D19" t="str">
            <v>min. DC voltage</v>
          </cell>
          <cell r="E19" t="str">
            <v>Tension CC min.</v>
          </cell>
          <cell r="F19" t="str">
            <v>Voltaje CC min.</v>
          </cell>
          <cell r="G19" t="str">
            <v>tensione minima DC</v>
          </cell>
          <cell r="H19" t="str">
            <v>Min DC-spanning</v>
          </cell>
          <cell r="I19" t="str">
            <v>Tensió CC mín.</v>
          </cell>
          <cell r="J19" t="str">
            <v>min. DC feszültség</v>
          </cell>
          <cell r="K19" t="str">
            <v>Tensão mín. da CC</v>
          </cell>
          <cell r="L19" t="str">
            <v>最小直流电压</v>
          </cell>
        </row>
        <row r="20">
          <cell r="C20" t="str">
            <v>max. MPP-Spannung</v>
          </cell>
          <cell r="D20" t="str">
            <v>max. MPP voltage</v>
          </cell>
          <cell r="E20" t="str">
            <v>Tension MPP max.</v>
          </cell>
          <cell r="F20" t="str">
            <v>Voltaje MPP máx.</v>
          </cell>
          <cell r="G20" t="str">
            <v>tensione massima MPP</v>
          </cell>
          <cell r="H20" t="str">
            <v>Max MPP-spanning</v>
          </cell>
          <cell r="I20" t="str">
            <v>Tensió MPP màx.</v>
          </cell>
          <cell r="J20" t="str">
            <v>max. MPP feszültség</v>
          </cell>
          <cell r="K20" t="str">
            <v>Tensão máx. do MPP</v>
          </cell>
          <cell r="L20" t="str">
            <v>最大MPP电压</v>
          </cell>
        </row>
        <row r="21">
          <cell r="C21" t="str">
            <v>max. DC-Spannung</v>
          </cell>
          <cell r="D21" t="str">
            <v>max. DC voltage</v>
          </cell>
          <cell r="E21" t="str">
            <v>Tension CC max.</v>
          </cell>
          <cell r="F21" t="str">
            <v>Voltaje CC máx.</v>
          </cell>
          <cell r="G21" t="str">
            <v>tensione massima DC</v>
          </cell>
          <cell r="H21" t="str">
            <v>Max DC-spanning</v>
          </cell>
          <cell r="I21" t="str">
            <v>Tensió CC màx.</v>
          </cell>
          <cell r="J21" t="str">
            <v>max. DC feszültség</v>
          </cell>
          <cell r="K21" t="str">
            <v>Tensão máx. da CC</v>
          </cell>
          <cell r="L21" t="str">
            <v>最大直流电压</v>
          </cell>
        </row>
        <row r="22">
          <cell r="C22" t="str">
            <v>Udc, max</v>
          </cell>
          <cell r="D22" t="str">
            <v>Vdc, max</v>
          </cell>
          <cell r="E22" t="str">
            <v>Ucc, max</v>
          </cell>
          <cell r="F22" t="str">
            <v>Vcc, máx</v>
          </cell>
          <cell r="G22" t="str">
            <v>Udc, max</v>
          </cell>
          <cell r="H22" t="str">
            <v>Udc,max</v>
          </cell>
          <cell r="I22" t="str">
            <v>Ucc, màx</v>
          </cell>
          <cell r="J22" t="str">
            <v>Vdc, max.</v>
          </cell>
          <cell r="K22" t="str">
            <v>Vcc, máx.</v>
          </cell>
          <cell r="L22" t="str">
            <v>Vdc, max</v>
          </cell>
        </row>
        <row r="23">
          <cell r="C23" t="str">
            <v>max. DC-Strom</v>
          </cell>
          <cell r="D23" t="str">
            <v>max. DC current</v>
          </cell>
          <cell r="E23" t="str">
            <v>Courant CC max.</v>
          </cell>
          <cell r="F23" t="str">
            <v>Corriente CC máx.</v>
          </cell>
          <cell r="G23" t="str">
            <v>corrente massima DC</v>
          </cell>
          <cell r="H23" t="str">
            <v>max DC-stroom</v>
          </cell>
          <cell r="I23" t="str">
            <v>Corrent CC màx.</v>
          </cell>
          <cell r="J23" t="str">
            <v>max. DC-áram</v>
          </cell>
          <cell r="K23" t="str">
            <v>Corrente máx. da CC</v>
          </cell>
          <cell r="L23" t="str">
            <v>最大直流电压</v>
          </cell>
        </row>
        <row r="24">
          <cell r="C24" t="str">
            <v>Ipv, max</v>
          </cell>
          <cell r="D24" t="str">
            <v>Ipv, max</v>
          </cell>
          <cell r="E24" t="str">
            <v>Ipv, max</v>
          </cell>
          <cell r="F24" t="str">
            <v>Ifv, máx</v>
          </cell>
          <cell r="G24" t="str">
            <v>Ipv, max</v>
          </cell>
          <cell r="H24" t="str">
            <v>Ipv,max</v>
          </cell>
          <cell r="I24" t="str">
            <v>Ipv, màx</v>
          </cell>
          <cell r="J24" t="str">
            <v>Ipv, max</v>
          </cell>
          <cell r="K24" t="str">
            <v>Ifv, máx.</v>
          </cell>
          <cell r="L24" t="str">
            <v>Ipv, max</v>
          </cell>
        </row>
        <row r="25">
          <cell r="C25" t="str">
            <v>DC-Spannungsrippel</v>
          </cell>
          <cell r="D25" t="str">
            <v>DC voltage ripple</v>
          </cell>
          <cell r="E25" t="str">
            <v>Ripple tension CC</v>
          </cell>
          <cell r="F25" t="str">
            <v>Ripple voltaje CC</v>
          </cell>
          <cell r="G25" t="str">
            <v>ripple DC</v>
          </cell>
          <cell r="H25" t="str">
            <v>DC-Spanningsrimpel</v>
          </cell>
          <cell r="I25" t="str">
            <v>Arrissament tensió CC</v>
          </cell>
          <cell r="J25" t="str">
            <v>DC feszültségi hullám</v>
          </cell>
          <cell r="K25" t="str">
            <v>Ripple voltagem CC</v>
          </cell>
          <cell r="L25" t="str">
            <v>直流电压波动</v>
          </cell>
        </row>
        <row r="26">
          <cell r="C26" t="str">
            <v>Uss</v>
          </cell>
          <cell r="D26" t="str">
            <v>Vss</v>
          </cell>
          <cell r="E26" t="str">
            <v>Uss</v>
          </cell>
          <cell r="F26" t="str">
            <v>Uss</v>
          </cell>
          <cell r="G26" t="str">
            <v>Uss</v>
          </cell>
          <cell r="H26" t="str">
            <v>Uss</v>
          </cell>
          <cell r="I26" t="str">
            <v>Uss</v>
          </cell>
          <cell r="J26" t="str">
            <v>Vss</v>
          </cell>
          <cell r="K26" t="str">
            <v>Uss</v>
          </cell>
          <cell r="L26" t="str">
            <v>Vss</v>
          </cell>
        </row>
        <row r="27">
          <cell r="C27" t="str">
            <v>Empfohlene max. PV-Leistung</v>
          </cell>
          <cell r="D27" t="str">
            <v>suggested max. PV power</v>
          </cell>
          <cell r="E27" t="str">
            <v>Puissance PV max. recommandée</v>
          </cell>
          <cell r="F27" t="str">
            <v xml:space="preserve">Potencia FV máx. recomendada </v>
          </cell>
          <cell r="G27" t="str">
            <v>potenza FV massima consigliata</v>
          </cell>
          <cell r="H27" t="str">
            <v>Aanbevolen Max PV-belasting</v>
          </cell>
          <cell r="I27" t="str">
            <v>Potència FV màx. recomanada</v>
          </cell>
          <cell r="J27" t="str">
            <v>ajánlott max. PV teljesítmény</v>
          </cell>
          <cell r="K27" t="str">
            <v>Potência fotovoltaica máx. recomendada</v>
          </cell>
          <cell r="L27" t="str">
            <v>推荐最大光伏功率</v>
          </cell>
        </row>
        <row r="28">
          <cell r="C28" t="str">
            <v>Ppv</v>
          </cell>
          <cell r="D28" t="str">
            <v>Ppv</v>
          </cell>
          <cell r="E28" t="str">
            <v>Ppv</v>
          </cell>
          <cell r="F28" t="str">
            <v>Pfv</v>
          </cell>
          <cell r="G28" t="str">
            <v>Ppv</v>
          </cell>
          <cell r="H28" t="str">
            <v>Ppv</v>
          </cell>
          <cell r="I28" t="str">
            <v>Ppv</v>
          </cell>
          <cell r="J28" t="str">
            <v>Ppv</v>
          </cell>
          <cell r="K28" t="str">
            <v>Pfv</v>
          </cell>
          <cell r="L28" t="str">
            <v>Ppv</v>
          </cell>
        </row>
        <row r="29">
          <cell r="C29" t="str">
            <v>Modulanzahl in Serie</v>
          </cell>
          <cell r="D29" t="str">
            <v>no. of serial modules</v>
          </cell>
          <cell r="E29" t="str">
            <v>Numéro de modules en série</v>
          </cell>
          <cell r="F29" t="str">
            <v>Número de módulos en serie</v>
          </cell>
          <cell r="G29" t="str">
            <v>numero di moduli in serie</v>
          </cell>
          <cell r="H29" t="str">
            <v>Aantal modules in serie</v>
          </cell>
          <cell r="I29" t="str">
            <v>Nombre de mòduls en sèrie</v>
          </cell>
          <cell r="J29" t="str">
            <v xml:space="preserve">soros modulok száma </v>
          </cell>
          <cell r="K29" t="str">
            <v>Número dos módulos em serié</v>
          </cell>
          <cell r="L29" t="str">
            <v>串接的光电板数量</v>
          </cell>
        </row>
        <row r="30">
          <cell r="C30" t="str">
            <v>Max. Stringanzahl (parallel)</v>
          </cell>
          <cell r="D30" t="str">
            <v>max. no. of parallel strings</v>
          </cell>
          <cell r="E30" t="str">
            <v>Numéro maximum de "strings" parallels</v>
          </cell>
          <cell r="F30" t="str">
            <v>Número máximo de strings (paralelos)</v>
          </cell>
          <cell r="G30" t="str">
            <v>numero massimo di stringhe (parallelo)</v>
          </cell>
          <cell r="H30" t="str">
            <v>Max aantal paralelle strings</v>
          </cell>
          <cell r="I30" t="str">
            <v>Nombre màxim de "strings" paral·lels</v>
          </cell>
          <cell r="J30" t="str">
            <v>max. párhuzamos kötések száma</v>
          </cell>
          <cell r="K30" t="str">
            <v>Número máx. do "String" (paralelos)</v>
          </cell>
          <cell r="L30" t="str">
            <v>最大并列路数</v>
          </cell>
        </row>
        <row r="31">
          <cell r="C31" t="str">
            <v>DC-Trenneinrichtung</v>
          </cell>
          <cell r="D31" t="str">
            <v>DC disconnector</v>
          </cell>
          <cell r="E31" t="str">
            <v>Déconnecteur CC</v>
          </cell>
          <cell r="F31" t="str">
            <v>Unidad segregadora CC</v>
          </cell>
          <cell r="G31" t="str">
            <v>sezionamento DC</v>
          </cell>
          <cell r="H31" t="str">
            <v>D C-Lastscheider</v>
          </cell>
          <cell r="I31" t="str">
            <v>Seccionador CC</v>
          </cell>
          <cell r="J31" t="str">
            <v xml:space="preserve">DC szétkapcsolás </v>
          </cell>
          <cell r="K31" t="str">
            <v>Breaker CC</v>
          </cell>
          <cell r="L31" t="str">
            <v>DC断路器</v>
          </cell>
        </row>
        <row r="32">
          <cell r="C32" t="str">
            <v>Therm. überw. Varistoren</v>
          </cell>
          <cell r="D32" t="str">
            <v>therm. monitored varistors</v>
          </cell>
          <cell r="E32" t="str">
            <v>Varistors à surveillance thermique</v>
          </cell>
          <cell r="F32" t="str">
            <v>Varistores térmicos</v>
          </cell>
          <cell r="G32" t="str">
            <v>varistori controllati termicamente</v>
          </cell>
          <cell r="H32" t="str">
            <v>Thermische beveiligings varistors</v>
          </cell>
          <cell r="I32" t="str">
            <v>Varistors tèrmics</v>
          </cell>
          <cell r="J32" t="str">
            <v>hővel felügyelt varisztorok</v>
          </cell>
          <cell r="K32" t="str">
            <v>Varistores térmicos</v>
          </cell>
          <cell r="L32" t="str">
            <v>热控制式过压保护</v>
          </cell>
        </row>
        <row r="33">
          <cell r="C33" t="str">
            <v>Erdschlussüberwachung</v>
          </cell>
          <cell r="D33" t="str">
            <v>monitoring of earth connection</v>
          </cell>
          <cell r="E33" t="str">
            <v>Surveillance mise à terre</v>
          </cell>
          <cell r="F33" t="str">
            <v>Control de toma de tierra</v>
          </cell>
          <cell r="G33" t="str">
            <v>rivelatore di guasto a terra</v>
          </cell>
          <cell r="H33" t="str">
            <v>Aardsluitings bewaking</v>
          </cell>
          <cell r="I33" t="str">
            <v>Control presa de terra</v>
          </cell>
          <cell r="J33" t="str">
            <v>földzárlat felügyelete</v>
          </cell>
          <cell r="K33" t="str">
            <v>Controlo do contacto com a terra</v>
          </cell>
          <cell r="L33" t="str">
            <v>接地监测</v>
          </cell>
        </row>
        <row r="34">
          <cell r="C34" t="str">
            <v>Verpolungsschutz</v>
          </cell>
          <cell r="D34" t="str">
            <v>polarity reversal protection</v>
          </cell>
          <cell r="E34" t="str">
            <v>Protection de polarisation</v>
          </cell>
          <cell r="F34" t="str">
            <v>Protección de polaridad</v>
          </cell>
          <cell r="G34" t="str">
            <v>protezione contro l'inversione di polaritá</v>
          </cell>
          <cell r="H34" t="str">
            <v>Polariteits beveiliging</v>
          </cell>
          <cell r="I34" t="str">
            <v>Protecció de polaritat</v>
          </cell>
          <cell r="J34" t="str">
            <v>polaritásvédelem</v>
          </cell>
          <cell r="K34" t="str">
            <v>Protecção da Polaridade</v>
          </cell>
          <cell r="L34" t="str">
            <v>错极性保护</v>
          </cell>
        </row>
        <row r="35">
          <cell r="C35" t="str">
            <v>Anzahl der genutzten Eingänge</v>
          </cell>
          <cell r="D35" t="str">
            <v>no. of used inputs</v>
          </cell>
          <cell r="E35" t="str">
            <v>Nombre de entrées utilisée</v>
          </cell>
          <cell r="F35" t="str">
            <v>Número de entradas utilizadas</v>
          </cell>
          <cell r="G35" t="str">
            <v>quantità di utilizzata ingressi</v>
          </cell>
          <cell r="H35" t="str">
            <v>Aantal gebruikte ingangen</v>
          </cell>
          <cell r="I35" t="str">
            <v>Nombre d'entrades utilitzades</v>
          </cell>
          <cell r="J35" t="str">
            <v>az alkalmazott bemenetek száma</v>
          </cell>
          <cell r="K35" t="str">
            <v xml:space="preserve">Número das entradas utilizadas </v>
          </cell>
          <cell r="L35" t="str">
            <v>使用的输入数</v>
          </cell>
        </row>
        <row r="36">
          <cell r="C36" t="str">
            <v>empfohlene min. Spannung</v>
          </cell>
          <cell r="D36" t="str">
            <v>suggested min. voltage</v>
          </cell>
          <cell r="E36" t="str">
            <v>Tension min. recommandée</v>
          </cell>
          <cell r="F36" t="str">
            <v>Voltaje min. recomendado</v>
          </cell>
          <cell r="G36" t="str">
            <v>tensione minima consigliata</v>
          </cell>
          <cell r="H36" t="str">
            <v>Aanbevolen min. spanning</v>
          </cell>
          <cell r="I36" t="str">
            <v>Tensió mín. recomanada</v>
          </cell>
          <cell r="J36" t="str">
            <v>ajánlott min. feszültség</v>
          </cell>
          <cell r="K36" t="str">
            <v>Tensão mín. recomandada</v>
          </cell>
          <cell r="L36" t="str">
            <v>建议的最小电压</v>
          </cell>
        </row>
        <row r="37">
          <cell r="C37" t="str">
            <v>Ausgangsgrößen</v>
          </cell>
          <cell r="D37" t="str">
            <v>output</v>
          </cell>
          <cell r="E37" t="str">
            <v>Variables de sortie</v>
          </cell>
          <cell r="F37" t="str">
            <v>Valores de salida</v>
          </cell>
          <cell r="G37" t="str">
            <v>uscita inverter</v>
          </cell>
          <cell r="H37" t="str">
            <v>Output</v>
          </cell>
          <cell r="I37" t="str">
            <v>Valors de sortida</v>
          </cell>
          <cell r="J37" t="str">
            <v>kimenet</v>
          </cell>
          <cell r="K37" t="str">
            <v>Valores da saída</v>
          </cell>
          <cell r="L37" t="str">
            <v>输出</v>
          </cell>
        </row>
        <row r="38">
          <cell r="C38" t="str">
            <v>max. AC-Leistung</v>
          </cell>
          <cell r="D38" t="str">
            <v>max. AC power</v>
          </cell>
          <cell r="E38" t="str">
            <v>Puissance CA max.</v>
          </cell>
          <cell r="F38" t="str">
            <v>Potencia CA máx.</v>
          </cell>
          <cell r="G38" t="str">
            <v>potenza massima AC</v>
          </cell>
          <cell r="H38" t="str">
            <v>Max AC-vermogen</v>
          </cell>
          <cell r="I38" t="str">
            <v>Potència CA màx.</v>
          </cell>
          <cell r="J38" t="str">
            <v>max. AC teljesítmény</v>
          </cell>
          <cell r="K38" t="str">
            <v>Potência máx. da CA</v>
          </cell>
          <cell r="L38" t="str">
            <v>最大交流功率</v>
          </cell>
        </row>
        <row r="39">
          <cell r="C39" t="str">
            <v>Pac, max</v>
          </cell>
          <cell r="D39" t="str">
            <v>Pac, max</v>
          </cell>
          <cell r="E39" t="str">
            <v>Pca, max</v>
          </cell>
          <cell r="F39" t="str">
            <v>Pca, máx</v>
          </cell>
          <cell r="G39" t="str">
            <v>Pac, max</v>
          </cell>
          <cell r="H39" t="str">
            <v>Pac,max</v>
          </cell>
          <cell r="I39" t="str">
            <v>Pca, màx</v>
          </cell>
          <cell r="J39" t="str">
            <v>Pac, max.</v>
          </cell>
          <cell r="K39" t="str">
            <v>Pca, máx.</v>
          </cell>
          <cell r="L39" t="str">
            <v>Pac, max</v>
          </cell>
        </row>
        <row r="40">
          <cell r="C40" t="str">
            <v>AC-Nennleistung</v>
          </cell>
          <cell r="D40" t="str">
            <v>nominal AC power</v>
          </cell>
          <cell r="E40" t="str">
            <v>Puissance nominale CA</v>
          </cell>
          <cell r="F40" t="str">
            <v>Potencia nominal CA</v>
          </cell>
          <cell r="G40" t="str">
            <v>potenza nominale AC</v>
          </cell>
          <cell r="H40" t="str">
            <v>Nominaal AC-vermogen</v>
          </cell>
          <cell r="I40" t="str">
            <v>Potència nominal CA</v>
          </cell>
          <cell r="J40" t="str">
            <v>névleges AC teljesítmény</v>
          </cell>
          <cell r="K40" t="str">
            <v>Potencial nominal CA</v>
          </cell>
          <cell r="L40" t="str">
            <v>额定交流功率</v>
          </cell>
        </row>
        <row r="41">
          <cell r="C41" t="str">
            <v>Pac, Nenn</v>
          </cell>
          <cell r="D41" t="str">
            <v>Pac, nom</v>
          </cell>
          <cell r="E41" t="str">
            <v>Pca, nom</v>
          </cell>
          <cell r="F41" t="str">
            <v>Pca, nom</v>
          </cell>
          <cell r="G41" t="str">
            <v>Pac, nom</v>
          </cell>
          <cell r="H41" t="str">
            <v>Pac, nominaal</v>
          </cell>
          <cell r="I41" t="str">
            <v>Pca, nom</v>
          </cell>
          <cell r="J41" t="str">
            <v>Pac, névl.</v>
          </cell>
          <cell r="K41" t="str">
            <v>Pca, nominal</v>
          </cell>
          <cell r="L41" t="str">
            <v>Pac, 额定</v>
          </cell>
        </row>
        <row r="42">
          <cell r="C42" t="str">
            <v>Klirrfaktor des Netzstromes bei KUNETZ &lt; 2% und PAC &gt; 0,5 PNenn</v>
          </cell>
          <cell r="D42" t="str">
            <v>THD of AC current at THD voltage &lt;2% and Pac &gt; 0,5 Pnom</v>
          </cell>
          <cell r="E42" t="str">
            <v>Forme de courant, facteur de distortion KUréseau &lt; 2% et Pca &gt; 0,5 Pca nom</v>
          </cell>
          <cell r="F42" t="str">
            <v>Distorción harmónica total KICA (con KUCA &lt; 2% y Pca &gt; 0,5 Pnom)</v>
          </cell>
          <cell r="G42" t="str">
            <v>THD of AC current at THDvoltage &lt;2% and Pac &gt; 0,5 Pnom</v>
          </cell>
          <cell r="H42" t="str">
            <v>Vervormings faktor netvoeding bij KUNETZ &lt; 2% en PAC &gt; PNOM</v>
          </cell>
          <cell r="I42" t="str">
            <v>Distorsió armònica total KICA (amb KUCA &lt; 2% i Pca &gt; 0,5 Pnom)</v>
          </cell>
          <cell r="J42" t="str">
            <v>hálózati zavarás (THD&lt;2% és PAC &gt; Pnom)</v>
          </cell>
          <cell r="K42" t="str">
            <v>Distorção armónica total KICA com KUCA &lt; 2% e</v>
          </cell>
          <cell r="L42" t="str">
            <v>交流电流总谐波率THD(电压总谐波率小于２%，且Pac&gt;0.5Pac.额定)</v>
          </cell>
        </row>
        <row r="43">
          <cell r="C43" t="str">
            <v>min. MPP-Spannung</v>
          </cell>
          <cell r="D43" t="str">
            <v>min. MPP voltage</v>
          </cell>
          <cell r="E43" t="str">
            <v>Tension MPP min.</v>
          </cell>
          <cell r="F43" t="str">
            <v>Voltaje MPP min.</v>
          </cell>
          <cell r="G43" t="str">
            <v>tensione minima MPP</v>
          </cell>
          <cell r="H43" t="str">
            <v>Min MPP-spanning</v>
          </cell>
          <cell r="I43" t="str">
            <v>Tensió MPP mín.</v>
          </cell>
          <cell r="J43" t="str">
            <v>min. MPP feszültség</v>
          </cell>
          <cell r="K43" t="str">
            <v>tensão mín. do MPP</v>
          </cell>
          <cell r="L43" t="str">
            <v>最小MPP电压</v>
          </cell>
        </row>
        <row r="44">
          <cell r="C44" t="str">
            <v>Netzspannung</v>
          </cell>
          <cell r="D44" t="str">
            <v>AC voltage</v>
          </cell>
          <cell r="E44" t="str">
            <v>tension réseau</v>
          </cell>
          <cell r="F44" t="str">
            <v xml:space="preserve">voltaje de red </v>
          </cell>
          <cell r="G44" t="str">
            <v>tensione di rete</v>
          </cell>
          <cell r="H44" t="str">
            <v>Netspanning</v>
          </cell>
          <cell r="I44" t="str">
            <v>Tensió de xarxa</v>
          </cell>
          <cell r="J44" t="str">
            <v>hálózati feszültség</v>
          </cell>
          <cell r="K44" t="str">
            <v>Tensão da rede</v>
          </cell>
          <cell r="L44" t="str">
            <v>交流电压</v>
          </cell>
        </row>
        <row r="45">
          <cell r="C45" t="str">
            <v>Arbeitsbereich, Netzspannung</v>
          </cell>
          <cell r="D45" t="str">
            <v>working range of AC voltage</v>
          </cell>
          <cell r="E45" t="str">
            <v>Plage de travail, tension réseau</v>
          </cell>
          <cell r="F45" t="str">
            <v xml:space="preserve">Campo de trabajo, voltaje de red </v>
          </cell>
          <cell r="G45" t="str">
            <v>range di funzionamento tensione di rete</v>
          </cell>
          <cell r="H45" t="str">
            <v>Werkbereik netspanning</v>
          </cell>
          <cell r="I45" t="str">
            <v>Rang de treball, tensió CA</v>
          </cell>
          <cell r="J45" t="str">
            <v>a hálózati feszültség működési tartománya</v>
          </cell>
          <cell r="K45" t="str">
            <v xml:space="preserve">Campo do trabalho, tensão da rede </v>
          </cell>
          <cell r="L45" t="str">
            <v>交流工作电压范围</v>
          </cell>
        </row>
        <row r="46">
          <cell r="C46" t="str">
            <v>Uac</v>
          </cell>
          <cell r="D46" t="str">
            <v>Vac</v>
          </cell>
          <cell r="E46" t="str">
            <v>Uca</v>
          </cell>
          <cell r="F46" t="str">
            <v>Uca</v>
          </cell>
          <cell r="G46" t="str">
            <v>Uac</v>
          </cell>
          <cell r="H46" t="str">
            <v>Uac</v>
          </cell>
          <cell r="I46" t="str">
            <v>Uca</v>
          </cell>
          <cell r="J46" t="str">
            <v>Vac</v>
          </cell>
          <cell r="K46" t="str">
            <v>Uca</v>
          </cell>
          <cell r="L46" t="str">
            <v>Vac</v>
          </cell>
        </row>
        <row r="47">
          <cell r="C47" t="str">
            <v>Einstellbereich</v>
          </cell>
          <cell r="D47" t="str">
            <v>programmable range</v>
          </cell>
          <cell r="E47" t="str">
            <v>Domaine de réglage</v>
          </cell>
          <cell r="F47" t="str">
            <v>Campo de ajuste</v>
          </cell>
          <cell r="G47" t="str">
            <v>campo variabile</v>
          </cell>
          <cell r="H47" t="str">
            <v>Instellingsbereik</v>
          </cell>
          <cell r="I47" t="str">
            <v>Rang d'ajust</v>
          </cell>
          <cell r="J47" t="str">
            <v>beállítási tartomány</v>
          </cell>
          <cell r="K47" t="str">
            <v>Campo da ajustagem</v>
          </cell>
          <cell r="L47" t="str">
            <v>可编程范围</v>
          </cell>
        </row>
        <row r="48">
          <cell r="C48" t="str">
            <v>Arbeitsbereich, Netzfrequenz</v>
          </cell>
          <cell r="D48" t="str">
            <v>working range of AC frequency</v>
          </cell>
          <cell r="E48" t="str">
            <v>Plage de travail, fréquence réseau</v>
          </cell>
          <cell r="F48" t="str">
            <v xml:space="preserve">Campo de trabajo, frecuencia de red </v>
          </cell>
          <cell r="G48" t="str">
            <v>range di funzionamento frequenza di rete</v>
          </cell>
          <cell r="H48" t="str">
            <v>Werkbereik wissel stroom</v>
          </cell>
          <cell r="I48" t="str">
            <v>Rang de treball, freqüència de xarxa</v>
          </cell>
          <cell r="J48" t="str">
            <v>hálózati frekvencia működési tartománya</v>
          </cell>
          <cell r="K48" t="str">
            <v>Campo do trabalho, frequência da rede</v>
          </cell>
          <cell r="L48" t="str">
            <v>交流频率范围</v>
          </cell>
        </row>
        <row r="49">
          <cell r="C49" t="str">
            <v>Fac</v>
          </cell>
          <cell r="D49" t="str">
            <v>Fac</v>
          </cell>
          <cell r="E49" t="str">
            <v>Fca</v>
          </cell>
          <cell r="F49" t="str">
            <v>Fca</v>
          </cell>
          <cell r="G49" t="str">
            <v>Fac</v>
          </cell>
          <cell r="H49" t="str">
            <v>Fac</v>
          </cell>
          <cell r="I49" t="str">
            <v>Fca</v>
          </cell>
          <cell r="J49" t="str">
            <v>Fac</v>
          </cell>
          <cell r="K49" t="str">
            <v>Fca</v>
          </cell>
          <cell r="L49" t="str">
            <v>Fac</v>
          </cell>
        </row>
        <row r="50">
          <cell r="C50" t="str">
            <v>Phasenverschiebungswinkel</v>
          </cell>
          <cell r="D50" t="str">
            <v>phase displacement</v>
          </cell>
          <cell r="E50" t="str">
            <v>Déphasage</v>
          </cell>
          <cell r="F50" t="str">
            <v>Ángulo de desplazamiento de fase</v>
          </cell>
          <cell r="G50" t="str">
            <v>sfasamento</v>
          </cell>
          <cell r="H50" t="str">
            <v>Fase verschuivingshoek</v>
          </cell>
          <cell r="I50" t="str">
            <v>Desfasament</v>
          </cell>
          <cell r="J50" t="str">
            <v>fáziseltolás</v>
          </cell>
          <cell r="K50" t="str">
            <v>Ângulo do desfasamento</v>
          </cell>
          <cell r="L50" t="str">
            <v>相位漂移</v>
          </cell>
        </row>
        <row r="51">
          <cell r="C51" t="str">
            <v>neu</v>
          </cell>
          <cell r="D51" t="str">
            <v>new</v>
          </cell>
          <cell r="E51" t="str">
            <v>neuve</v>
          </cell>
          <cell r="F51" t="str">
            <v>new</v>
          </cell>
          <cell r="G51" t="str">
            <v>new</v>
          </cell>
          <cell r="H51" t="str">
            <v>new</v>
          </cell>
          <cell r="I51" t="str">
            <v>new</v>
          </cell>
          <cell r="J51" t="str">
            <v>new</v>
          </cell>
          <cell r="K51" t="str">
            <v>new</v>
          </cell>
        </row>
        <row r="52">
          <cell r="C52" t="str">
            <v>stabilisiert</v>
          </cell>
          <cell r="D52" t="str">
            <v>stabilized</v>
          </cell>
          <cell r="E52" t="str">
            <v>stabilized</v>
          </cell>
          <cell r="F52" t="str">
            <v>stabilized</v>
          </cell>
          <cell r="G52" t="str">
            <v>stabilized</v>
          </cell>
          <cell r="H52" t="str">
            <v>stabilized</v>
          </cell>
          <cell r="I52" t="str">
            <v>stabilized</v>
          </cell>
          <cell r="J52" t="str">
            <v>stabilized</v>
          </cell>
          <cell r="K52" t="str">
            <v>stabilized</v>
          </cell>
        </row>
        <row r="53">
          <cell r="C53" t="str">
            <v>Kurzschlußfestigkeit</v>
          </cell>
          <cell r="D53" t="str">
            <v>short current immunity</v>
          </cell>
          <cell r="E53" t="str">
            <v>Endurance de court-circuit</v>
          </cell>
          <cell r="F53" t="str">
            <v>Resistencia a cortocircuito</v>
          </cell>
          <cell r="G53" t="str">
            <v>resistenza ai corto circuiti</v>
          </cell>
          <cell r="H53" t="str">
            <v>Kortsluitvastheid</v>
          </cell>
          <cell r="I53" t="str">
            <v>Protecció a curt circuit</v>
          </cell>
          <cell r="J53" t="str">
            <v>rövidzárlatvédelem</v>
          </cell>
          <cell r="K53" t="str">
            <v>Resistência a curto-circuito</v>
          </cell>
          <cell r="L53" t="str">
            <v>短路电流</v>
          </cell>
        </row>
        <row r="54">
          <cell r="C54" t="str">
            <v>Wirkungsgrad</v>
          </cell>
          <cell r="D54" t="str">
            <v>effectivity</v>
          </cell>
          <cell r="E54" t="str">
            <v>Rendement</v>
          </cell>
          <cell r="F54" t="str">
            <v>Eficiencia</v>
          </cell>
          <cell r="G54" t="str">
            <v>rendimento</v>
          </cell>
          <cell r="H54" t="str">
            <v>Efficientie</v>
          </cell>
          <cell r="I54" t="str">
            <v>Rendiment</v>
          </cell>
          <cell r="J54" t="str">
            <v>hatásfok</v>
          </cell>
          <cell r="K54" t="str">
            <v>Rendimento</v>
          </cell>
          <cell r="L54" t="str">
            <v>有效性</v>
          </cell>
        </row>
        <row r="55">
          <cell r="C55" t="str">
            <v>Max. Wirkungsgrad</v>
          </cell>
          <cell r="D55" t="str">
            <v>max. efficiency</v>
          </cell>
          <cell r="E55" t="str">
            <v>Rendement max.</v>
          </cell>
          <cell r="F55" t="str">
            <v>Eficiencia máx.</v>
          </cell>
          <cell r="G55" t="str">
            <v>massimo rendimento</v>
          </cell>
          <cell r="H55" t="str">
            <v>Max. Efficientie</v>
          </cell>
          <cell r="I55" t="str">
            <v>Rendiment màx.</v>
          </cell>
          <cell r="J55" t="str">
            <v>max. hatásfok</v>
          </cell>
          <cell r="K55" t="str">
            <v>Rendimento máx.</v>
          </cell>
          <cell r="L55" t="str">
            <v>最大交流</v>
          </cell>
        </row>
        <row r="56">
          <cell r="C56" t="str">
            <v>stabil</v>
          </cell>
          <cell r="D56" t="str">
            <v>fixed</v>
          </cell>
          <cell r="E56" t="str">
            <v>stable</v>
          </cell>
          <cell r="F56" t="str">
            <v>fixed</v>
          </cell>
          <cell r="G56" t="str">
            <v>fixed</v>
          </cell>
          <cell r="H56" t="str">
            <v>fixed</v>
          </cell>
          <cell r="I56" t="str">
            <v>fixed</v>
          </cell>
          <cell r="J56" t="str">
            <v>fixed</v>
          </cell>
          <cell r="K56" t="str">
            <v>fixed</v>
          </cell>
        </row>
        <row r="57">
          <cell r="C57" t="str">
            <v>Wirkungsgrad, europ. gewichtet</v>
          </cell>
          <cell r="D57" t="str">
            <v>efficiency, european related</v>
          </cell>
          <cell r="E57" t="str">
            <v>Rendement, pondération européenne</v>
          </cell>
          <cell r="F57" t="str">
            <v xml:space="preserve">Eficiencia, ponderación europea </v>
          </cell>
          <cell r="G57" t="str">
            <v>rendimento, european related</v>
          </cell>
          <cell r="H57" t="str">
            <v>Efficientie europees gemiddelde</v>
          </cell>
          <cell r="I57" t="str">
            <v>Rendiment, ponderació europea</v>
          </cell>
          <cell r="J57" t="str">
            <v>hatásfok, európai szabvány szerint</v>
          </cell>
          <cell r="K57" t="str">
            <v>Rendimento regulado por europeu</v>
          </cell>
          <cell r="L57" t="str">
            <v>效率，适用于欧洲</v>
          </cell>
        </row>
        <row r="58">
          <cell r="C58" t="str">
            <v>Alterung</v>
          </cell>
          <cell r="D58" t="str">
            <v>ageing</v>
          </cell>
          <cell r="E58" t="str">
            <v>vieillissement</v>
          </cell>
          <cell r="F58" t="str">
            <v>ageing</v>
          </cell>
          <cell r="G58" t="str">
            <v>ageing</v>
          </cell>
          <cell r="H58" t="str">
            <v>ageing</v>
          </cell>
          <cell r="I58" t="str">
            <v>ageing</v>
          </cell>
          <cell r="J58" t="str">
            <v>ageing</v>
          </cell>
          <cell r="K58" t="str">
            <v>ageing</v>
          </cell>
        </row>
        <row r="59">
          <cell r="C59" t="str">
            <v>Leistungsaufnahme</v>
          </cell>
          <cell r="D59" t="str">
            <v>consumption</v>
          </cell>
          <cell r="E59" t="str">
            <v>Consommation</v>
          </cell>
          <cell r="F59" t="str">
            <v>Consumo</v>
          </cell>
          <cell r="G59" t="str">
            <v>assorbimento</v>
          </cell>
          <cell r="H59" t="str">
            <v>Stroomverbruik</v>
          </cell>
          <cell r="I59" t="str">
            <v>Consum</v>
          </cell>
          <cell r="J59" t="str">
            <v>teljesitmény felvétel</v>
          </cell>
          <cell r="K59" t="str">
            <v>Consumo</v>
          </cell>
          <cell r="L59" t="str">
            <v>损耗</v>
          </cell>
        </row>
        <row r="60">
          <cell r="C60" t="str">
            <v>Eigenverbrauch bei Betrieb</v>
          </cell>
          <cell r="D60" t="str">
            <v>consumption at operation</v>
          </cell>
          <cell r="E60" t="str">
            <v>Consommation propre en opération</v>
          </cell>
          <cell r="F60" t="str">
            <v>Autoconsumo en funcionamiento</v>
          </cell>
          <cell r="G60" t="str">
            <v>consumo proprio in servizio</v>
          </cell>
          <cell r="H60" t="str">
            <v>Stroomverbruik Belast</v>
          </cell>
          <cell r="I60" t="str">
            <v>Autoconsum en operació</v>
          </cell>
          <cell r="J60" t="str">
            <v>üzemi fogyasztás</v>
          </cell>
          <cell r="K60" t="str">
            <v>Consumo próprio em funcionamento</v>
          </cell>
          <cell r="L60" t="str">
            <v>运行时损耗</v>
          </cell>
        </row>
        <row r="61">
          <cell r="C61" t="str">
            <v>Eigenverbrauch im Nachtbetrieb</v>
          </cell>
          <cell r="D61" t="str">
            <v>consumption at night</v>
          </cell>
          <cell r="E61" t="str">
            <v>Consommation propre pendant la nuit</v>
          </cell>
          <cell r="F61" t="str">
            <v>Autoconsumo durante la noche</v>
          </cell>
          <cell r="G61" t="str">
            <v>consumo proprio in funzionameno notturno</v>
          </cell>
          <cell r="H61" t="str">
            <v>Stroomverbruik bij nacht</v>
          </cell>
          <cell r="I61" t="str">
            <v>Autoconsum nocturn</v>
          </cell>
          <cell r="J61" t="str">
            <v>éjszakai fogyasztás</v>
          </cell>
          <cell r="K61" t="str">
            <v>consumo próprio em funcionamento durante a noite</v>
          </cell>
          <cell r="L61" t="str">
            <v>夜晚时损耗</v>
          </cell>
        </row>
        <row r="62">
          <cell r="C62" t="str">
            <v>Normen</v>
          </cell>
          <cell r="D62" t="str">
            <v>standards</v>
          </cell>
          <cell r="E62" t="str">
            <v>Normes</v>
          </cell>
          <cell r="F62" t="str">
            <v>Normas</v>
          </cell>
          <cell r="G62" t="str">
            <v>normative</v>
          </cell>
          <cell r="H62" t="str">
            <v>Normen</v>
          </cell>
          <cell r="I62" t="str">
            <v>Normes</v>
          </cell>
          <cell r="J62" t="str">
            <v>szabványok</v>
          </cell>
          <cell r="K62" t="str">
            <v>Normas</v>
          </cell>
          <cell r="L62" t="str">
            <v>标准</v>
          </cell>
        </row>
        <row r="63">
          <cell r="C63" t="str">
            <v>EMV</v>
          </cell>
          <cell r="D63" t="str">
            <v>EMC</v>
          </cell>
          <cell r="E63" t="str">
            <v>Compatibilité électromagnétique CEM</v>
          </cell>
          <cell r="F63" t="str">
            <v>Compatibilidad electromagnética CEM</v>
          </cell>
          <cell r="G63" t="str">
            <v>compatibilitá elettromagnetica EMC</v>
          </cell>
          <cell r="H63" t="str">
            <v>EMK</v>
          </cell>
          <cell r="I63" t="str">
            <v>Comptabilitat electromagnètica CEM</v>
          </cell>
          <cell r="J63" t="str">
            <v>EMC</v>
          </cell>
          <cell r="K63" t="str">
            <v>CEM</v>
          </cell>
          <cell r="L63" t="str">
            <v>EMC</v>
          </cell>
        </row>
        <row r="64">
          <cell r="C64" t="str">
            <v>Netzrückwirkungen</v>
          </cell>
          <cell r="D64" t="str">
            <v>system pertubation</v>
          </cell>
          <cell r="E64" t="str">
            <v>Impédance réseau</v>
          </cell>
          <cell r="F64" t="str">
            <v>Conformidad red</v>
          </cell>
          <cell r="G64" t="str">
            <v>armoniche</v>
          </cell>
          <cell r="H64" t="str">
            <v>Netvervuiling</v>
          </cell>
          <cell r="I64" t="str">
            <v>Conformitat xarxa</v>
          </cell>
          <cell r="J64" t="str">
            <v>hálózati visszahatások</v>
          </cell>
          <cell r="K64" t="str">
            <v>Reação da rede</v>
          </cell>
          <cell r="L64" t="str">
            <v>电网系统干扰</v>
          </cell>
        </row>
        <row r="65">
          <cell r="C65" t="str">
            <v>Netzüberwachung</v>
          </cell>
          <cell r="D65" t="str">
            <v>grid monitoring</v>
          </cell>
          <cell r="E65" t="str">
            <v>Surveillance de réseau</v>
          </cell>
          <cell r="F65" t="str">
            <v>Control de la red</v>
          </cell>
          <cell r="G65" t="str">
            <v>controllo rete</v>
          </cell>
          <cell r="H65" t="str">
            <v>Netbewaking</v>
          </cell>
          <cell r="I65" t="str">
            <v>Control de xarxa</v>
          </cell>
          <cell r="J65" t="str">
            <v>hálózati felügyelet</v>
          </cell>
          <cell r="K65" t="str">
            <v>Controlo da rede</v>
          </cell>
          <cell r="L65" t="str">
            <v>电网监测</v>
          </cell>
        </row>
        <row r="66">
          <cell r="C66" t="str">
            <v>Niederspannungsrichtlinie</v>
          </cell>
          <cell r="E66" t="str">
            <v>Directive basse tensión</v>
          </cell>
          <cell r="F66" t="str">
            <v xml:space="preserve">Directiva de baja tensión </v>
          </cell>
          <cell r="G66" t="str">
            <v>direttiva di bassa tensione</v>
          </cell>
          <cell r="H66" t="str">
            <v>Laagspanningsrichtlijn</v>
          </cell>
          <cell r="I66" t="str">
            <v>Directiva de baixa tensió</v>
          </cell>
          <cell r="J66" t="str">
            <v>kisfeszültségi irányvonal</v>
          </cell>
          <cell r="K66" t="str">
            <v xml:space="preserve">Directiva da baixa tensão </v>
          </cell>
        </row>
        <row r="67">
          <cell r="C67" t="str">
            <v>Schutzart nach DIN 40050/IEC 529</v>
          </cell>
          <cell r="D67" t="str">
            <v>protection class using DIN 40050/IEC 529</v>
          </cell>
          <cell r="E67" t="str">
            <v>Degré de protection selon DIN 40050/IEC 529</v>
          </cell>
          <cell r="F67" t="str">
            <v>Tipo de protección según DIN 40050/IEC 529</v>
          </cell>
          <cell r="G67" t="str">
            <v>grado di protezione secondo DIN 40050/IEC 529</v>
          </cell>
          <cell r="H67" t="str">
            <v>Veiligheidsklasse DIN 40050/IEC 529</v>
          </cell>
          <cell r="I67" t="str">
            <v>Protecció interna d'acord a DIN 40050/IEC 529</v>
          </cell>
          <cell r="J67" t="str">
            <v>DIN 40050/IEC 529 típusú védelem</v>
          </cell>
          <cell r="K67" t="str">
            <v>Tipo da protecção seguinte DIN 40050/IEC 529</v>
          </cell>
          <cell r="L67" t="str">
            <v>保护等级，采用DIN40050/IEC529</v>
          </cell>
        </row>
        <row r="68">
          <cell r="C68" t="str">
            <v>reduzierter</v>
          </cell>
          <cell r="D68" t="str">
            <v>reduced</v>
          </cell>
          <cell r="E68" t="str">
            <v>réduit</v>
          </cell>
          <cell r="F68" t="str">
            <v>reduced</v>
          </cell>
          <cell r="G68" t="str">
            <v>reduced</v>
          </cell>
          <cell r="H68" t="str">
            <v>reduced</v>
          </cell>
          <cell r="I68" t="str">
            <v>reduced</v>
          </cell>
          <cell r="J68" t="str">
            <v>reduced</v>
          </cell>
          <cell r="K68" t="str">
            <v>reduced</v>
          </cell>
        </row>
        <row r="69">
          <cell r="C69" t="str">
            <v>Mechanische Größen</v>
          </cell>
          <cell r="D69" t="str">
            <v>mechanical characteristic</v>
          </cell>
          <cell r="E69" t="str">
            <v>Dimensions mécaniques</v>
          </cell>
          <cell r="F69" t="str">
            <v>Dimensiones mecánicas</v>
          </cell>
          <cell r="G69" t="str">
            <v>dati meccanici</v>
          </cell>
          <cell r="H69" t="str">
            <v>Mechanische Karakteristieken</v>
          </cell>
          <cell r="I69" t="str">
            <v>Dimensions i pes</v>
          </cell>
          <cell r="J69" t="str">
            <v>mechanikai adatok</v>
          </cell>
          <cell r="K69" t="str">
            <v>Dimensões mecanicas</v>
          </cell>
          <cell r="L69" t="str">
            <v>机械性能参数</v>
          </cell>
        </row>
        <row r="70">
          <cell r="C70" t="str">
            <v xml:space="preserve">Maße </v>
          </cell>
          <cell r="D70" t="str">
            <v>dimensions</v>
          </cell>
          <cell r="E70" t="str">
            <v>Encombrement</v>
          </cell>
          <cell r="F70" t="str">
            <v>Dimensiones</v>
          </cell>
          <cell r="G70" t="str">
            <v>dimensioni</v>
          </cell>
          <cell r="H70" t="str">
            <v>Maat</v>
          </cell>
          <cell r="I70" t="str">
            <v>Dimensions</v>
          </cell>
          <cell r="J70" t="str">
            <v>kiterjedések</v>
          </cell>
          <cell r="K70" t="str">
            <v xml:space="preserve">Dimensões </v>
          </cell>
          <cell r="L70" t="str">
            <v>尺寸</v>
          </cell>
        </row>
        <row r="71">
          <cell r="C71" t="str">
            <v>Breite</v>
          </cell>
          <cell r="D71" t="str">
            <v>width</v>
          </cell>
          <cell r="E71" t="str">
            <v>Largeur</v>
          </cell>
          <cell r="F71" t="str">
            <v>Ancho</v>
          </cell>
          <cell r="G71" t="str">
            <v>larghezza</v>
          </cell>
          <cell r="H71" t="str">
            <v>Breedte</v>
          </cell>
          <cell r="I71" t="str">
            <v>Ample</v>
          </cell>
          <cell r="J71" t="str">
            <v>szélesség</v>
          </cell>
          <cell r="K71" t="str">
            <v>Largura</v>
          </cell>
          <cell r="L71" t="str">
            <v>宽</v>
          </cell>
        </row>
        <row r="72">
          <cell r="C72" t="str">
            <v>Höhe</v>
          </cell>
          <cell r="D72" t="str">
            <v>height</v>
          </cell>
          <cell r="E72" t="str">
            <v>Hauteur</v>
          </cell>
          <cell r="F72" t="str">
            <v>Alto</v>
          </cell>
          <cell r="G72" t="str">
            <v>altezza</v>
          </cell>
          <cell r="H72" t="str">
            <v>Hoogte</v>
          </cell>
          <cell r="I72" t="str">
            <v>Alt</v>
          </cell>
          <cell r="J72" t="str">
            <v>magasság</v>
          </cell>
          <cell r="K72" t="str">
            <v>Altura</v>
          </cell>
          <cell r="L72" t="str">
            <v>高</v>
          </cell>
        </row>
        <row r="73">
          <cell r="C73" t="str">
            <v>Tiefe</v>
          </cell>
          <cell r="D73" t="str">
            <v>depth</v>
          </cell>
          <cell r="E73" t="str">
            <v>Longueur</v>
          </cell>
          <cell r="F73" t="str">
            <v>Fondo</v>
          </cell>
          <cell r="G73" t="str">
            <v>profonditá</v>
          </cell>
          <cell r="H73" t="str">
            <v>Diepte</v>
          </cell>
          <cell r="I73" t="str">
            <v>Fons</v>
          </cell>
          <cell r="J73" t="str">
            <v>mélység</v>
          </cell>
          <cell r="K73" t="str">
            <v>Profundidade</v>
          </cell>
          <cell r="L73" t="str">
            <v>长</v>
          </cell>
        </row>
        <row r="74">
          <cell r="C74" t="str">
            <v>Gewicht</v>
          </cell>
          <cell r="D74" t="str">
            <v>weight</v>
          </cell>
          <cell r="E74" t="str">
            <v>Poids</v>
          </cell>
          <cell r="F74" t="str">
            <v>Peso</v>
          </cell>
          <cell r="G74" t="str">
            <v>peso</v>
          </cell>
          <cell r="H74" t="str">
            <v>Gewicht</v>
          </cell>
          <cell r="I74" t="str">
            <v>Pes</v>
          </cell>
          <cell r="J74" t="str">
            <v>súly</v>
          </cell>
          <cell r="K74" t="str">
            <v>Peso</v>
          </cell>
          <cell r="L74" t="str">
            <v>重量</v>
          </cell>
        </row>
        <row r="75">
          <cell r="C75" t="str">
            <v>Umgebungsbedingungen</v>
          </cell>
          <cell r="D75" t="str">
            <v>ambient conditions</v>
          </cell>
          <cell r="E75" t="str">
            <v>Conditions ambiantes</v>
          </cell>
          <cell r="F75" t="str">
            <v>Condiciones ambientales</v>
          </cell>
          <cell r="G75" t="str">
            <v>condizioni di lavoro</v>
          </cell>
          <cell r="H75" t="str">
            <v>Omgevingsvoorwaarden</v>
          </cell>
          <cell r="I75" t="str">
            <v>Condicions ambientals</v>
          </cell>
          <cell r="J75" t="str">
            <v>környezeti feltételek</v>
          </cell>
          <cell r="K75" t="str">
            <v>Condições ambientais</v>
          </cell>
          <cell r="L75" t="str">
            <v>环境条件</v>
          </cell>
        </row>
        <row r="76">
          <cell r="C76" t="str">
            <v>Zulässige Umgebungstemperatur</v>
          </cell>
          <cell r="D76" t="str">
            <v>allowed ambient temperature</v>
          </cell>
          <cell r="E76" t="str">
            <v>Température ambiante admissible</v>
          </cell>
          <cell r="F76" t="str">
            <v>Temperatura ambiente tolerable</v>
          </cell>
          <cell r="G76" t="str">
            <v>temperatura d'ambiente ammissibile</v>
          </cell>
          <cell r="H76" t="str">
            <v>Toegestane omgevingstemperatuur</v>
          </cell>
          <cell r="I76" t="str">
            <v>Temperatura ambient admissible</v>
          </cell>
          <cell r="J76" t="str">
            <v>megengedhető környezeti hőmérséklet</v>
          </cell>
          <cell r="K76" t="str">
            <v>Temperatura ambiente admissível</v>
          </cell>
          <cell r="L76" t="str">
            <v>允许环境温度</v>
          </cell>
        </row>
        <row r="77">
          <cell r="C77" t="str">
            <v>Luftfeuchte, rel. (zulässig)</v>
          </cell>
          <cell r="D77" t="str">
            <v>allowed rel. humidity</v>
          </cell>
          <cell r="E77" t="str">
            <v>Humidité relative (admissible)</v>
          </cell>
          <cell r="F77" t="str">
            <v>Humedad relativa (tolerable)</v>
          </cell>
          <cell r="G77" t="str">
            <v>umiditá, relativa (ammissibile)</v>
          </cell>
          <cell r="H77" t="str">
            <v>Toegestane luchtvochtigheid</v>
          </cell>
          <cell r="I77" t="str">
            <v>Humitat relativa (admissible)</v>
          </cell>
          <cell r="J77" t="str">
            <v>megengedhető rel. páratartalom</v>
          </cell>
          <cell r="K77" t="str">
            <v>Humidade relativa</v>
          </cell>
          <cell r="L77" t="str">
            <v>允许相对湿度</v>
          </cell>
        </row>
        <row r="78">
          <cell r="C78" t="str">
            <v>Max. Netzspannung</v>
          </cell>
          <cell r="D78" t="str">
            <v>max. AC voltage</v>
          </cell>
          <cell r="E78" t="str">
            <v>tension réseau max.</v>
          </cell>
          <cell r="F78" t="str">
            <v>voltaje de red máx.</v>
          </cell>
          <cell r="G78" t="str">
            <v>massimo tensione di rete</v>
          </cell>
          <cell r="H78" t="str">
            <v>Max. Netspanning</v>
          </cell>
          <cell r="I78" t="str">
            <v>Tensió de xarxa màx.</v>
          </cell>
          <cell r="J78" t="str">
            <v>max. hálózati feszültség</v>
          </cell>
          <cell r="K78" t="str">
            <v>Tensão da rede máx.</v>
          </cell>
          <cell r="L78" t="str">
            <v>最大交流电压</v>
          </cell>
        </row>
        <row r="79">
          <cell r="C79" t="str">
            <v>(MPP: Punkt maximaler Leistung)</v>
          </cell>
          <cell r="D79" t="str">
            <v>(MPP: maximum power point)</v>
          </cell>
          <cell r="E79" t="str">
            <v>(MPP: point de puissance maximum)</v>
          </cell>
          <cell r="F79" t="str">
            <v>(MPP: punto de potencia máxima)</v>
          </cell>
          <cell r="G79" t="str">
            <v>(MPP: punto potenza massima)</v>
          </cell>
          <cell r="H79" t="str">
            <v>(MPP: maximum power point)</v>
          </cell>
          <cell r="I79" t="str">
            <v>(MPP: Punt de potència màxima)</v>
          </cell>
          <cell r="J79" t="str">
            <v>(MPP: maximális teljesítménypont)</v>
          </cell>
          <cell r="K79" t="str">
            <v>(MPP: ponto da potência máx. )</v>
          </cell>
          <cell r="L79" t="str">
            <v>(MPP: 最大功率点)</v>
          </cell>
        </row>
        <row r="80">
          <cell r="C80" t="str">
            <v>PV-Generator</v>
          </cell>
          <cell r="D80" t="str">
            <v>PV generator</v>
          </cell>
          <cell r="E80" t="str">
            <v>Installation solaire</v>
          </cell>
          <cell r="F80" t="str">
            <v>Generador FV</v>
          </cell>
          <cell r="G80" t="str">
            <v>generatore FV</v>
          </cell>
          <cell r="H80" t="str">
            <v>PV Installatie</v>
          </cell>
          <cell r="I80" t="str">
            <v>Generador FV</v>
          </cell>
          <cell r="J80" t="str">
            <v>PV generátor</v>
          </cell>
          <cell r="K80" t="str">
            <v>Gerador FV</v>
          </cell>
          <cell r="L80" t="str">
            <v>光电板组件</v>
          </cell>
        </row>
        <row r="81">
          <cell r="C81" t="str">
            <v>PV</v>
          </cell>
          <cell r="D81" t="str">
            <v>PV</v>
          </cell>
          <cell r="E81" t="str">
            <v>PV</v>
          </cell>
          <cell r="F81" t="str">
            <v>FV</v>
          </cell>
          <cell r="G81" t="str">
            <v>FV</v>
          </cell>
          <cell r="H81" t="str">
            <v>PV</v>
          </cell>
          <cell r="I81" t="str">
            <v>FV</v>
          </cell>
          <cell r="J81" t="str">
            <v>PV</v>
          </cell>
          <cell r="K81" t="str">
            <v>FV</v>
          </cell>
          <cell r="L81" t="str">
            <v>PV</v>
          </cell>
        </row>
        <row r="82">
          <cell r="C82" t="str">
            <v>Modultyp</v>
          </cell>
          <cell r="D82" t="str">
            <v>type of module</v>
          </cell>
          <cell r="E82" t="str">
            <v>Type de module</v>
          </cell>
          <cell r="F82" t="str">
            <v>Tipo de módulo</v>
          </cell>
          <cell r="G82" t="str">
            <v>tipo del modulo</v>
          </cell>
          <cell r="H82" t="str">
            <v>Module type</v>
          </cell>
          <cell r="I82" t="str">
            <v>Tipus de mòdul</v>
          </cell>
          <cell r="J82" t="str">
            <v>modultípus</v>
          </cell>
          <cell r="K82" t="str">
            <v>Tipo de módulo</v>
          </cell>
          <cell r="L82" t="str">
            <v>光电板型号</v>
          </cell>
        </row>
        <row r="83">
          <cell r="C83" t="str">
            <v>Hersteller</v>
          </cell>
          <cell r="D83" t="str">
            <v>manufacturer</v>
          </cell>
          <cell r="E83" t="str">
            <v>Producteur</v>
          </cell>
          <cell r="F83" t="str">
            <v>Productor</v>
          </cell>
          <cell r="G83" t="str">
            <v>produttore</v>
          </cell>
          <cell r="H83" t="str">
            <v>Producent</v>
          </cell>
          <cell r="I83" t="str">
            <v>Fabricant</v>
          </cell>
          <cell r="J83" t="str">
            <v>gyártó</v>
          </cell>
          <cell r="K83" t="str">
            <v>produtor</v>
          </cell>
          <cell r="L83" t="str">
            <v>生产厂</v>
          </cell>
        </row>
        <row r="84">
          <cell r="C84" t="str">
            <v>Nennleistung</v>
          </cell>
          <cell r="D84" t="str">
            <v>nominal power</v>
          </cell>
          <cell r="E84" t="str">
            <v>Puissance nominale</v>
          </cell>
          <cell r="F84" t="str">
            <v>Potencia nominal</v>
          </cell>
          <cell r="G84" t="str">
            <v>potenza nominale</v>
          </cell>
          <cell r="H84" t="str">
            <v>Nominale belasting</v>
          </cell>
          <cell r="I84" t="str">
            <v>Potència nominal</v>
          </cell>
          <cell r="J84" t="str">
            <v>névleges teljesítmény</v>
          </cell>
          <cell r="K84" t="str">
            <v>Potência nominal</v>
          </cell>
          <cell r="L84" t="str">
            <v>额定功率</v>
          </cell>
        </row>
        <row r="85">
          <cell r="C85" t="str">
            <v>MPP-Spannung</v>
          </cell>
          <cell r="D85" t="str">
            <v>MPP voltage</v>
          </cell>
          <cell r="E85" t="str">
            <v>Tension MPP</v>
          </cell>
          <cell r="F85" t="str">
            <v>Voltaje MPP</v>
          </cell>
          <cell r="G85" t="str">
            <v>tensione MPP</v>
          </cell>
          <cell r="H85" t="str">
            <v>MPP-spanning</v>
          </cell>
          <cell r="I85" t="str">
            <v>Tensió MPP</v>
          </cell>
          <cell r="J85" t="str">
            <v>MPP feszültség</v>
          </cell>
          <cell r="K85" t="str">
            <v>Tensão MPP</v>
          </cell>
          <cell r="L85" t="str">
            <v>MPP电压</v>
          </cell>
        </row>
        <row r="86">
          <cell r="C86" t="str">
            <v>MPP-Spannung bei</v>
          </cell>
          <cell r="D86" t="str">
            <v>MPP voltage at</v>
          </cell>
          <cell r="E86" t="str">
            <v>Tension MPP avec</v>
          </cell>
          <cell r="F86" t="str">
            <v>Voltaje MPP con</v>
          </cell>
          <cell r="G86" t="str">
            <v>tensione MPP a</v>
          </cell>
          <cell r="H86" t="str">
            <v>MPP_spanning bij</v>
          </cell>
          <cell r="I86" t="str">
            <v>Tensió MPP amb</v>
          </cell>
          <cell r="J86" t="str">
            <v>MPP feszültség …-nál</v>
          </cell>
          <cell r="K86" t="str">
            <v>Tensão MPP com</v>
          </cell>
          <cell r="L86" t="str">
            <v>MPP电压,当</v>
          </cell>
        </row>
        <row r="87">
          <cell r="C87" t="str">
            <v>Leerlaufspannung</v>
          </cell>
          <cell r="D87" t="str">
            <v>open circuit voltage</v>
          </cell>
          <cell r="E87" t="str">
            <v>Tension à circuit ouvert</v>
          </cell>
          <cell r="F87" t="str">
            <v>Voltaje en vacío</v>
          </cell>
          <cell r="G87" t="str">
            <v>tensione a vuoto</v>
          </cell>
          <cell r="H87" t="str">
            <v>Open spanning</v>
          </cell>
          <cell r="I87" t="str">
            <v>Tensió circuit obert</v>
          </cell>
          <cell r="J87" t="str">
            <v>üresjárati feszültség</v>
          </cell>
          <cell r="K87" t="str">
            <v>tensão em ponto morto</v>
          </cell>
          <cell r="L87" t="str">
            <v>开路电压</v>
          </cell>
        </row>
        <row r="88">
          <cell r="C88" t="str">
            <v>Leerlaufspannung bei</v>
          </cell>
          <cell r="D88" t="str">
            <v>open circuit voltage at</v>
          </cell>
          <cell r="E88" t="str">
            <v>Tension à circuit ouvert avec</v>
          </cell>
          <cell r="F88" t="str">
            <v>Voltaje en vacío con</v>
          </cell>
          <cell r="G88" t="str">
            <v>tensione a vuoto a</v>
          </cell>
          <cell r="H88" t="str">
            <v>Open spanning bij</v>
          </cell>
          <cell r="I88" t="str">
            <v>Tensió circuit obert amb</v>
          </cell>
          <cell r="J88" t="str">
            <v>üresjárati feszültség …-nál</v>
          </cell>
          <cell r="K88" t="str">
            <v>Tensão em ponto morto com</v>
          </cell>
          <cell r="L88" t="str">
            <v>开路电压,当</v>
          </cell>
        </row>
        <row r="89">
          <cell r="C89" t="str">
            <v>MPP-Strom</v>
          </cell>
          <cell r="D89" t="str">
            <v>MPP current</v>
          </cell>
          <cell r="E89" t="str">
            <v>Courant MPP</v>
          </cell>
          <cell r="F89" t="str">
            <v>Corriente MPP</v>
          </cell>
          <cell r="G89" t="str">
            <v>corrente MPP</v>
          </cell>
          <cell r="H89" t="str">
            <v>MPP-Stroom</v>
          </cell>
          <cell r="I89" t="str">
            <v>Corrent MPP</v>
          </cell>
          <cell r="J89" t="str">
            <v>MPP áram</v>
          </cell>
          <cell r="K89" t="str">
            <v>corrente MPP</v>
          </cell>
          <cell r="L89" t="str">
            <v>MPP电流</v>
          </cell>
        </row>
        <row r="90">
          <cell r="C90" t="str">
            <v>Kurzschlußstrom</v>
          </cell>
          <cell r="D90" t="str">
            <v>short circuit current</v>
          </cell>
          <cell r="E90" t="str">
            <v>Courant de court-circuit</v>
          </cell>
          <cell r="F90" t="str">
            <v>Corriente de cortocircuito</v>
          </cell>
          <cell r="G90" t="str">
            <v>corrente di corto circuito</v>
          </cell>
          <cell r="H90" t="str">
            <v>Kortsluitstroom</v>
          </cell>
          <cell r="I90" t="str">
            <v>Corrent de curt circuit</v>
          </cell>
          <cell r="J90" t="str">
            <v>rövidzárlati áram</v>
          </cell>
          <cell r="K90" t="str">
            <v>Corrente do curto-circuito</v>
          </cell>
          <cell r="L90" t="str">
            <v>短路电流</v>
          </cell>
        </row>
        <row r="91">
          <cell r="C91" t="str">
            <v>Modulfläche</v>
          </cell>
          <cell r="D91" t="str">
            <v>modul area</v>
          </cell>
          <cell r="F91" t="str">
            <v>Superficie del módulo</v>
          </cell>
          <cell r="H91" t="str">
            <v>Module oppervlakte</v>
          </cell>
          <cell r="I91" t="str">
            <v>Àrea del mòdul</v>
          </cell>
          <cell r="J91" t="str">
            <v>modulfelület</v>
          </cell>
          <cell r="K91" t="str">
            <v>Área do módulo</v>
          </cell>
          <cell r="L91" t="str">
            <v>组件面积</v>
          </cell>
        </row>
        <row r="92">
          <cell r="C92" t="str">
            <v>Modul</v>
          </cell>
          <cell r="D92" t="str">
            <v>module</v>
          </cell>
          <cell r="E92" t="str">
            <v>Module</v>
          </cell>
          <cell r="F92" t="str">
            <v>Módulo</v>
          </cell>
          <cell r="G92" t="str">
            <v>modulo</v>
          </cell>
          <cell r="H92" t="str">
            <v>Module</v>
          </cell>
          <cell r="I92" t="str">
            <v>Mòdul</v>
          </cell>
          <cell r="J92" t="str">
            <v>modul</v>
          </cell>
          <cell r="K92" t="str">
            <v>Módulo</v>
          </cell>
          <cell r="L92" t="str">
            <v>光伏组件</v>
          </cell>
        </row>
        <row r="93">
          <cell r="C93" t="str">
            <v>Anzahl der Zellen im Modul</v>
          </cell>
          <cell r="D93" t="str">
            <v>no. of cells</v>
          </cell>
          <cell r="E93" t="str">
            <v>Nombre de cellules dans le module</v>
          </cell>
          <cell r="F93" t="str">
            <v>Número de células en el módulo</v>
          </cell>
          <cell r="G93" t="str">
            <v>quantità di cellule per modulo</v>
          </cell>
          <cell r="H93" t="str">
            <v>Aantal cellen per module</v>
          </cell>
          <cell r="I93" t="str">
            <v>Nombre de cèl·lules</v>
          </cell>
          <cell r="J93" t="str">
            <v>cellák száma a modulban</v>
          </cell>
          <cell r="K93" t="str">
            <v>Número das células no módulo</v>
          </cell>
          <cell r="L93" t="str">
            <v>光电池数量</v>
          </cell>
        </row>
        <row r="94">
          <cell r="C94" t="str">
            <v>Zellen des Moduls</v>
          </cell>
          <cell r="D94" t="str">
            <v>cells</v>
          </cell>
          <cell r="E94" t="str">
            <v>cellules dans le module</v>
          </cell>
          <cell r="F94" t="str">
            <v>células en el módulo</v>
          </cell>
          <cell r="G94" t="str">
            <v>cellule per modulo</v>
          </cell>
          <cell r="H94" t="str">
            <v>cellen per module</v>
          </cell>
          <cell r="I94" t="str">
            <v>cèl·lules</v>
          </cell>
          <cell r="J94" t="str">
            <v>cellák a modulban</v>
          </cell>
          <cell r="K94" t="str">
            <v>Células no módulo</v>
          </cell>
          <cell r="L94" t="str">
            <v>开路电压温度系数</v>
          </cell>
        </row>
        <row r="95">
          <cell r="C95" t="str">
            <v>Zulässige Systemspannung des Moduls</v>
          </cell>
          <cell r="D95" t="str">
            <v>allowed system voltage of the module</v>
          </cell>
          <cell r="E95" t="str">
            <v>Tension de système admissible du module</v>
          </cell>
          <cell r="F95" t="str">
            <v xml:space="preserve">Voltaje admisible del sistema del módulo </v>
          </cell>
          <cell r="G95" t="str">
            <v>tensione di sistema massima ammessa per modulo</v>
          </cell>
          <cell r="H95" t="str">
            <v>Toelaatbare Spannning van de Modules</v>
          </cell>
          <cell r="I95" t="str">
            <v>Tensió de sistema admissible del mòdul</v>
          </cell>
          <cell r="J95" t="str">
            <v>a modul megengedhető rendszerfeszültsége</v>
          </cell>
          <cell r="K95" t="str">
            <v>Tensão admissível no sistema do módulo</v>
          </cell>
          <cell r="L95" t="str">
            <v>光伏组件允许系统电压</v>
          </cell>
        </row>
        <row r="96">
          <cell r="C96" t="str">
            <v>Eingänge</v>
          </cell>
          <cell r="D96" t="str">
            <v>inputs</v>
          </cell>
          <cell r="E96" t="str">
            <v>entrées</v>
          </cell>
          <cell r="F96" t="str">
            <v>entradas</v>
          </cell>
          <cell r="G96" t="str">
            <v>ingressi</v>
          </cell>
          <cell r="H96" t="str">
            <v>Ingangen</v>
          </cell>
          <cell r="I96" t="str">
            <v>entrades</v>
          </cell>
          <cell r="J96" t="str">
            <v>bemenetek</v>
          </cell>
          <cell r="K96" t="str">
            <v>Entradas</v>
          </cell>
          <cell r="L96" t="str">
            <v>输入</v>
          </cell>
        </row>
        <row r="97">
          <cell r="C97" t="str">
            <v>Stringzahl</v>
          </cell>
          <cell r="D97" t="str">
            <v>no. of strings</v>
          </cell>
          <cell r="E97" t="str">
            <v>Nombre de strings</v>
          </cell>
          <cell r="F97" t="str">
            <v>Número de strings</v>
          </cell>
          <cell r="G97" t="str">
            <v>numero di stringhe</v>
          </cell>
          <cell r="H97" t="str">
            <v>Aantal strings</v>
          </cell>
          <cell r="I97" t="str">
            <v>Nombre de strings</v>
          </cell>
          <cell r="J97" t="str">
            <v>"string"szám (5)</v>
          </cell>
          <cell r="K97" t="str">
            <v>Número dos "Strings"</v>
          </cell>
          <cell r="L97" t="str">
            <v>光伏组件输入路数</v>
          </cell>
        </row>
        <row r="98">
          <cell r="C98" t="str">
            <v>String</v>
          </cell>
          <cell r="D98" t="str">
            <v>string</v>
          </cell>
          <cell r="E98" t="str">
            <v>String</v>
          </cell>
          <cell r="F98" t="str">
            <v>String</v>
          </cell>
          <cell r="G98" t="str">
            <v>stringa</v>
          </cell>
          <cell r="H98" t="str">
            <v>String</v>
          </cell>
          <cell r="I98" t="str">
            <v>String</v>
          </cell>
          <cell r="J98" t="str">
            <v>"string"</v>
          </cell>
          <cell r="K98" t="str">
            <v>String</v>
          </cell>
          <cell r="L98" t="str">
            <v>输入路</v>
          </cell>
        </row>
        <row r="99">
          <cell r="C99" t="str">
            <v>Strings</v>
          </cell>
          <cell r="D99" t="str">
            <v>strings</v>
          </cell>
          <cell r="E99" t="str">
            <v>Strings</v>
          </cell>
          <cell r="F99" t="str">
            <v>Strings</v>
          </cell>
          <cell r="G99" t="str">
            <v>stringhe</v>
          </cell>
          <cell r="H99" t="str">
            <v>Strings</v>
          </cell>
          <cell r="I99" t="str">
            <v>Strings</v>
          </cell>
          <cell r="J99" t="str">
            <v>"string"-ek</v>
          </cell>
          <cell r="K99" t="str">
            <v>Strings</v>
          </cell>
          <cell r="L99" t="str">
            <v>输入路</v>
          </cell>
        </row>
        <row r="100">
          <cell r="C100" t="str">
            <v>Module</v>
          </cell>
          <cell r="D100" t="str">
            <v>modules</v>
          </cell>
          <cell r="E100" t="str">
            <v>Modules</v>
          </cell>
          <cell r="F100" t="str">
            <v>Módulos</v>
          </cell>
          <cell r="G100" t="str">
            <v>moduli</v>
          </cell>
          <cell r="H100" t="str">
            <v>Modules</v>
          </cell>
          <cell r="I100" t="str">
            <v>Mòduls</v>
          </cell>
          <cell r="J100" t="str">
            <v>modulok</v>
          </cell>
          <cell r="K100" t="str">
            <v>Módulos</v>
          </cell>
        </row>
        <row r="101">
          <cell r="C101" t="str">
            <v>Module pro String</v>
          </cell>
          <cell r="D101" t="str">
            <v>modules per string</v>
          </cell>
          <cell r="E101" t="str">
            <v>Modules par string</v>
          </cell>
          <cell r="F101" t="str">
            <v>Módulos por string</v>
          </cell>
          <cell r="G101" t="str">
            <v>moduli per stringa</v>
          </cell>
          <cell r="H101" t="str">
            <v>Modules per string</v>
          </cell>
          <cell r="I101" t="str">
            <v>Mòduls per string</v>
          </cell>
          <cell r="J101" t="str">
            <v>modulok "string"-enként</v>
          </cell>
          <cell r="K101" t="str">
            <v>Módulos por "String"</v>
          </cell>
          <cell r="L101" t="str">
            <v>光板数／每路</v>
          </cell>
        </row>
        <row r="102">
          <cell r="C102" t="str">
            <v>Stringleistung</v>
          </cell>
          <cell r="D102" t="str">
            <v>string nominal power</v>
          </cell>
          <cell r="E102" t="str">
            <v>Puissance string</v>
          </cell>
          <cell r="F102" t="str">
            <v>Potencia del string</v>
          </cell>
          <cell r="G102" t="str">
            <v>potenza nominale stringa</v>
          </cell>
          <cell r="H102" t="str">
            <v>Nominaal vermogen per string</v>
          </cell>
          <cell r="I102" t="str">
            <v>Potència string</v>
          </cell>
          <cell r="J102" t="str">
            <v>"string"teljesítmény</v>
          </cell>
          <cell r="K102" t="str">
            <v>Potência por "String"</v>
          </cell>
          <cell r="L102" t="str">
            <v>每路额定功率</v>
          </cell>
        </row>
        <row r="103">
          <cell r="C103" t="str">
            <v>bei</v>
          </cell>
          <cell r="D103" t="str">
            <v>at</v>
          </cell>
          <cell r="E103" t="str">
            <v>avec</v>
          </cell>
          <cell r="F103" t="str">
            <v>con</v>
          </cell>
          <cell r="G103" t="str">
            <v>a</v>
          </cell>
          <cell r="H103" t="str">
            <v>bij</v>
          </cell>
          <cell r="I103" t="str">
            <v>amb</v>
          </cell>
          <cell r="J103" t="str">
            <v>nál, -nél</v>
          </cell>
          <cell r="K103" t="str">
            <v>com</v>
          </cell>
          <cell r="L103" t="str">
            <v>在</v>
          </cell>
        </row>
        <row r="105">
          <cell r="C105" t="str">
            <v>max. mögl. Generatorstrom</v>
          </cell>
          <cell r="D105" t="str">
            <v>max. possible PV current</v>
          </cell>
          <cell r="E105" t="str">
            <v>Courant solaire maximum</v>
          </cell>
          <cell r="F105" t="str">
            <v>Corriente del generador máxima</v>
          </cell>
          <cell r="G105" t="str">
            <v>corrente del generatore FV max</v>
          </cell>
          <cell r="H105" t="str">
            <v>Max mogelijke PV Stroom</v>
          </cell>
          <cell r="I105" t="str">
            <v>Corrent generador FV màx.</v>
          </cell>
          <cell r="J105" t="str">
            <v>max. lehetséges generátoráram</v>
          </cell>
          <cell r="K105" t="str">
            <v>corrente do gerador máx.</v>
          </cell>
          <cell r="L105" t="str">
            <v>最大可能的光电板电流</v>
          </cell>
        </row>
        <row r="107">
          <cell r="C107" t="str">
            <v>Gesamtleistung</v>
          </cell>
          <cell r="D107" t="str">
            <v>total PV power</v>
          </cell>
          <cell r="E107" t="str">
            <v>Puissance totale</v>
          </cell>
          <cell r="F107" t="str">
            <v>Potencia total</v>
          </cell>
          <cell r="G107" t="str">
            <v>potenza totale</v>
          </cell>
          <cell r="H107" t="str">
            <v>Totaal vermogen</v>
          </cell>
          <cell r="I107" t="str">
            <v>Potència total</v>
          </cell>
          <cell r="J107" t="str">
            <v>összteljesítmény</v>
          </cell>
          <cell r="K107" t="str">
            <v>Rendimento total</v>
          </cell>
          <cell r="L107" t="str">
            <v>光电输入总功率</v>
          </cell>
        </row>
        <row r="108">
          <cell r="C108" t="str">
            <v>Generatorneigung</v>
          </cell>
          <cell r="D108" t="str">
            <v>generators inclination</v>
          </cell>
          <cell r="E108" t="str">
            <v>Inclinaison de l'installation solaire</v>
          </cell>
          <cell r="F108" t="str">
            <v>Inclinación del generador PV</v>
          </cell>
          <cell r="G108" t="str">
            <v>inclinazione del generatore</v>
          </cell>
          <cell r="H108" t="str">
            <v>Generatorneiging</v>
          </cell>
          <cell r="I108" t="str">
            <v>Inclinació del generador FV</v>
          </cell>
          <cell r="J108" t="str">
            <v>generátormeghajtás</v>
          </cell>
          <cell r="K108" t="str">
            <v>Inclinação do gerador</v>
          </cell>
          <cell r="L108" t="str">
            <v>光电板倾角</v>
          </cell>
        </row>
        <row r="109">
          <cell r="C109" t="str">
            <v>Modultemperatur</v>
          </cell>
          <cell r="D109" t="str">
            <v>temp. of module</v>
          </cell>
          <cell r="E109" t="str">
            <v>Température de module</v>
          </cell>
          <cell r="F109" t="str">
            <v>Temperatura de módulos</v>
          </cell>
          <cell r="G109" t="str">
            <v>temperatura del modulo</v>
          </cell>
          <cell r="H109" t="str">
            <v>Module temperatuur</v>
          </cell>
          <cell r="I109" t="str">
            <v>Temperatura de mòduls</v>
          </cell>
          <cell r="J109" t="str">
            <v>modulhőmérséklet</v>
          </cell>
          <cell r="K109" t="str">
            <v>Temperatura dos módulos</v>
          </cell>
          <cell r="L109" t="str">
            <v>光电板温度</v>
          </cell>
        </row>
        <row r="110">
          <cell r="C110" t="str">
            <v>min.</v>
          </cell>
          <cell r="D110" t="str">
            <v>min.</v>
          </cell>
          <cell r="E110" t="str">
            <v>min.</v>
          </cell>
          <cell r="F110" t="str">
            <v>min.</v>
          </cell>
          <cell r="G110" t="str">
            <v>min.</v>
          </cell>
          <cell r="H110" t="str">
            <v>min.</v>
          </cell>
          <cell r="I110" t="str">
            <v>mín.</v>
          </cell>
          <cell r="J110" t="str">
            <v>min.</v>
          </cell>
          <cell r="K110" t="str">
            <v>mín.</v>
          </cell>
          <cell r="L110" t="str">
            <v>最小</v>
          </cell>
        </row>
        <row r="111">
          <cell r="C111" t="str">
            <v>max.</v>
          </cell>
          <cell r="D111" t="str">
            <v>max.</v>
          </cell>
          <cell r="E111" t="str">
            <v>max.</v>
          </cell>
          <cell r="F111" t="str">
            <v>máx.</v>
          </cell>
          <cell r="G111" t="str">
            <v>max.</v>
          </cell>
          <cell r="H111" t="str">
            <v>max.</v>
          </cell>
          <cell r="I111" t="str">
            <v>màx.</v>
          </cell>
          <cell r="J111" t="str">
            <v>max.</v>
          </cell>
          <cell r="K111" t="str">
            <v>máx.</v>
          </cell>
          <cell r="L111" t="str">
            <v>最大</v>
          </cell>
        </row>
        <row r="112">
          <cell r="C112" t="str">
            <v>Auslegung</v>
          </cell>
          <cell r="D112" t="str">
            <v>designed</v>
          </cell>
          <cell r="E112" t="str">
            <v>Dimensionnement</v>
          </cell>
          <cell r="F112" t="str">
            <v>Dimensionamiento</v>
          </cell>
          <cell r="G112" t="str">
            <v>dimensionamento</v>
          </cell>
          <cell r="H112" t="str">
            <v>Ontwerp</v>
          </cell>
          <cell r="I112" t="str">
            <v>Dimensionament</v>
          </cell>
          <cell r="J112" t="str">
            <v>tervrajz</v>
          </cell>
          <cell r="K112" t="str">
            <v>Dimensionamento</v>
          </cell>
          <cell r="L112" t="str">
            <v>设计值</v>
          </cell>
        </row>
        <row r="113">
          <cell r="C113" t="str">
            <v>Energienutzungsfaktor</v>
          </cell>
          <cell r="D113" t="str">
            <v>part of utilized energy</v>
          </cell>
          <cell r="E113" t="str">
            <v>Partie d'énergie utilisée</v>
          </cell>
          <cell r="F113" t="str">
            <v>Grado de utilización de la energía</v>
          </cell>
          <cell r="G113" t="str">
            <v>fattore di utilizzo del energia</v>
          </cell>
          <cell r="H113" t="str">
            <v>Rendement</v>
          </cell>
          <cell r="I113" t="str">
            <v>Grau d'utilització de la energia</v>
          </cell>
          <cell r="J113" t="str">
            <v>energiafelhasználási faktor</v>
          </cell>
          <cell r="K113" t="str">
            <v>Factor da utilização da energia</v>
          </cell>
          <cell r="L113" t="str">
            <v>利用的光伏能量值</v>
          </cell>
        </row>
        <row r="114">
          <cell r="C114" t="str">
            <v>Nennleistungsverhältnis</v>
          </cell>
          <cell r="D114" t="str">
            <v>nominal power ratio</v>
          </cell>
          <cell r="E114" t="str">
            <v>Ratio de puissances nominales</v>
          </cell>
          <cell r="F114" t="str">
            <v>Ratio de potencias nominales</v>
          </cell>
          <cell r="G114" t="str">
            <v>nominal power ratio</v>
          </cell>
          <cell r="H114" t="str">
            <v>Max. Vermogensrendement</v>
          </cell>
          <cell r="I114" t="str">
            <v>Ratio de potències nominals</v>
          </cell>
          <cell r="J114" t="str">
            <v>névleges teljesítmény mértéke</v>
          </cell>
          <cell r="K114" t="str">
            <v>Relação da potência nominal</v>
          </cell>
          <cell r="L114" t="str">
            <v>额定功率比</v>
          </cell>
        </row>
        <row r="115">
          <cell r="C115" t="str">
            <v>Wirkungsgrad</v>
          </cell>
          <cell r="D115" t="str">
            <v>efficiency</v>
          </cell>
          <cell r="E115" t="str">
            <v>rendement</v>
          </cell>
          <cell r="F115" t="str">
            <v>eficiencia</v>
          </cell>
          <cell r="G115" t="str">
            <v>rendimento</v>
          </cell>
          <cell r="H115" t="str">
            <v>Werkingsgraad</v>
          </cell>
          <cell r="I115" t="str">
            <v>Rendiment</v>
          </cell>
          <cell r="J115" t="str">
            <v>hatásfok</v>
          </cell>
          <cell r="K115" t="str">
            <v>Rendimento</v>
          </cell>
          <cell r="L115" t="str">
            <v>效率</v>
          </cell>
        </row>
        <row r="117">
          <cell r="C117" t="str">
            <v>W</v>
          </cell>
          <cell r="D117" t="str">
            <v>W</v>
          </cell>
          <cell r="E117" t="str">
            <v>W</v>
          </cell>
          <cell r="F117" t="str">
            <v>W</v>
          </cell>
          <cell r="G117" t="str">
            <v>W</v>
          </cell>
          <cell r="H117" t="str">
            <v>W</v>
          </cell>
          <cell r="I117" t="str">
            <v>W</v>
          </cell>
          <cell r="J117" t="str">
            <v>W</v>
          </cell>
          <cell r="K117" t="str">
            <v>W</v>
          </cell>
          <cell r="L117" t="str">
            <v>W</v>
          </cell>
        </row>
        <row r="118">
          <cell r="C118" t="str">
            <v>V</v>
          </cell>
          <cell r="D118" t="str">
            <v>V</v>
          </cell>
          <cell r="E118" t="str">
            <v>V</v>
          </cell>
          <cell r="F118" t="str">
            <v>V</v>
          </cell>
          <cell r="G118" t="str">
            <v>V</v>
          </cell>
          <cell r="H118" t="str">
            <v>V</v>
          </cell>
          <cell r="I118" t="str">
            <v>V</v>
          </cell>
          <cell r="J118" t="str">
            <v>V</v>
          </cell>
          <cell r="K118" t="str">
            <v>V</v>
          </cell>
          <cell r="L118" t="str">
            <v>V</v>
          </cell>
        </row>
        <row r="119">
          <cell r="C119" t="str">
            <v>A</v>
          </cell>
          <cell r="D119" t="str">
            <v>A</v>
          </cell>
          <cell r="E119" t="str">
            <v>A</v>
          </cell>
          <cell r="F119" t="str">
            <v>A</v>
          </cell>
          <cell r="G119" t="str">
            <v>A</v>
          </cell>
          <cell r="H119" t="str">
            <v>A</v>
          </cell>
          <cell r="I119" t="str">
            <v>A</v>
          </cell>
          <cell r="J119" t="str">
            <v>A</v>
          </cell>
          <cell r="K119" t="str">
            <v>A</v>
          </cell>
          <cell r="L119" t="str">
            <v>A</v>
          </cell>
        </row>
        <row r="120">
          <cell r="C120" t="str">
            <v>°C</v>
          </cell>
          <cell r="D120" t="str">
            <v>°C</v>
          </cell>
          <cell r="E120" t="str">
            <v>°C</v>
          </cell>
          <cell r="F120" t="str">
            <v>°C</v>
          </cell>
          <cell r="G120" t="str">
            <v>°C</v>
          </cell>
          <cell r="H120" t="str">
            <v>C</v>
          </cell>
          <cell r="I120" t="str">
            <v>°C</v>
          </cell>
          <cell r="J120" t="str">
            <v>°C</v>
          </cell>
          <cell r="K120" t="str">
            <v>°C</v>
          </cell>
          <cell r="L120" t="str">
            <v>°C</v>
          </cell>
        </row>
        <row r="121">
          <cell r="C121" t="str">
            <v>Wp</v>
          </cell>
          <cell r="D121" t="str">
            <v>Wp</v>
          </cell>
          <cell r="E121" t="str">
            <v>Wp</v>
          </cell>
          <cell r="F121" t="str">
            <v>Wp</v>
          </cell>
          <cell r="G121" t="str">
            <v>Wp</v>
          </cell>
          <cell r="H121" t="str">
            <v>Wp</v>
          </cell>
          <cell r="I121" t="str">
            <v>Wp</v>
          </cell>
          <cell r="J121" t="str">
            <v>Wp</v>
          </cell>
          <cell r="K121" t="str">
            <v>Wp</v>
          </cell>
          <cell r="L121" t="str">
            <v>Wp</v>
          </cell>
        </row>
        <row r="122">
          <cell r="C122" t="str">
            <v>%</v>
          </cell>
          <cell r="D122" t="str">
            <v>%</v>
          </cell>
          <cell r="E122" t="str">
            <v>%</v>
          </cell>
          <cell r="F122" t="str">
            <v>%</v>
          </cell>
          <cell r="G122" t="str">
            <v>%</v>
          </cell>
          <cell r="H122" t="str">
            <v>%</v>
          </cell>
          <cell r="I122" t="str">
            <v>%</v>
          </cell>
          <cell r="J122" t="str">
            <v>%</v>
          </cell>
          <cell r="K122" t="str">
            <v>%</v>
          </cell>
          <cell r="L122" t="str">
            <v>%</v>
          </cell>
        </row>
        <row r="123">
          <cell r="C123" t="str">
            <v xml:space="preserve">  / °C</v>
          </cell>
          <cell r="D123" t="str">
            <v xml:space="preserve">  / °C</v>
          </cell>
          <cell r="E123" t="str">
            <v xml:space="preserve">  / °C</v>
          </cell>
          <cell r="F123" t="str">
            <v xml:space="preserve">  / °C</v>
          </cell>
          <cell r="G123" t="str">
            <v xml:space="preserve">  / °C</v>
          </cell>
          <cell r="H123" t="str">
            <v xml:space="preserve">  / °C</v>
          </cell>
          <cell r="I123" t="str">
            <v xml:space="preserve">  / °C</v>
          </cell>
          <cell r="J123" t="str">
            <v xml:space="preserve">  / °C</v>
          </cell>
          <cell r="K123" t="str">
            <v>/ °C</v>
          </cell>
          <cell r="L123" t="str">
            <v>%/°C</v>
          </cell>
        </row>
        <row r="124">
          <cell r="C124" t="str">
            <v>m²</v>
          </cell>
          <cell r="D124" t="str">
            <v>m²</v>
          </cell>
          <cell r="E124" t="str">
            <v>m²</v>
          </cell>
          <cell r="F124" t="str">
            <v>m²</v>
          </cell>
          <cell r="G124" t="str">
            <v>m²</v>
          </cell>
          <cell r="H124" t="str">
            <v>m²</v>
          </cell>
          <cell r="I124" t="str">
            <v>m²</v>
          </cell>
          <cell r="J124" t="str">
            <v>m²</v>
          </cell>
          <cell r="K124" t="str">
            <v>m²</v>
          </cell>
          <cell r="L124" t="str">
            <v>m²</v>
          </cell>
        </row>
        <row r="125">
          <cell r="C125" t="str">
            <v>Letzter Datensatz</v>
          </cell>
          <cell r="D125" t="str">
            <v>final data set</v>
          </cell>
          <cell r="E125" t="str">
            <v>Dernier record de données</v>
          </cell>
          <cell r="F125" t="str">
            <v>Último registro de datos</v>
          </cell>
          <cell r="G125" t="str">
            <v>final data set</v>
          </cell>
          <cell r="H125" t="str">
            <v>Laatste gegevensveld.</v>
          </cell>
          <cell r="I125" t="str">
            <v>Últim registre de dades</v>
          </cell>
          <cell r="J125" t="str">
            <v>végső adatbázis</v>
          </cell>
          <cell r="K125" t="str">
            <v>Último registro dos dados</v>
          </cell>
          <cell r="L125" t="str">
            <v>最终数据值</v>
          </cell>
        </row>
        <row r="127">
          <cell r="C127" t="str">
            <v>Wechselrichterauslegung</v>
          </cell>
          <cell r="D127" t="str">
            <v>inverter design</v>
          </cell>
          <cell r="E127" t="str">
            <v>Dimensionnement de l'onduleur</v>
          </cell>
          <cell r="F127" t="str">
            <v>Dimensionamiento de la inversor</v>
          </cell>
          <cell r="G127" t="str">
            <v>dimensionamento inverter</v>
          </cell>
          <cell r="H127" t="str">
            <v>Inverter Ontwerp</v>
          </cell>
          <cell r="I127" t="str">
            <v>Dimensionament de la ondulador</v>
          </cell>
          <cell r="J127" t="str">
            <v>inverter terv</v>
          </cell>
          <cell r="K127" t="str">
            <v>Dimensionamento dos Inversores</v>
          </cell>
          <cell r="L127" t="str">
            <v>光伏发电站设计</v>
          </cell>
        </row>
        <row r="128">
          <cell r="C128" t="str">
            <v>Moduldaten</v>
          </cell>
          <cell r="D128" t="str">
            <v>module datasheet</v>
          </cell>
          <cell r="E128" t="str">
            <v>Données des modules</v>
          </cell>
          <cell r="F128" t="str">
            <v>Datos de los módulos</v>
          </cell>
          <cell r="G128" t="str">
            <v>dati moduli</v>
          </cell>
          <cell r="H128" t="str">
            <v>Module gegevens</v>
          </cell>
          <cell r="I128" t="str">
            <v>Dades dels mòduls</v>
          </cell>
          <cell r="J128" t="str">
            <v>moduladatok</v>
          </cell>
          <cell r="K128" t="str">
            <v>Dados dos módulos</v>
          </cell>
          <cell r="L128" t="str">
            <v>光电板参数</v>
          </cell>
        </row>
        <row r="129">
          <cell r="C129" t="str">
            <v>Hinweise</v>
          </cell>
          <cell r="D129" t="str">
            <v>comments</v>
          </cell>
          <cell r="E129" t="str">
            <v>Annotations</v>
          </cell>
          <cell r="F129" t="str">
            <v>Indicaciones</v>
          </cell>
          <cell r="G129" t="str">
            <v>indicazioni</v>
          </cell>
          <cell r="H129" t="str">
            <v>Aanwijzing</v>
          </cell>
          <cell r="I129" t="str">
            <v>Comentaris</v>
          </cell>
          <cell r="J129" t="str">
            <v>magyarázatok</v>
          </cell>
          <cell r="K129" t="str">
            <v xml:space="preserve">Indicações </v>
          </cell>
          <cell r="L129" t="str">
            <v>说明</v>
          </cell>
        </row>
        <row r="130">
          <cell r="C130" t="str">
            <v>Eingabe</v>
          </cell>
          <cell r="D130" t="str">
            <v>input</v>
          </cell>
          <cell r="E130" t="str">
            <v>Entrée</v>
          </cell>
          <cell r="F130" t="str">
            <v>Entrada</v>
          </cell>
          <cell r="G130" t="str">
            <v>input</v>
          </cell>
          <cell r="H130" t="str">
            <v>Ingave</v>
          </cell>
          <cell r="I130" t="str">
            <v>Entrada</v>
          </cell>
          <cell r="J130" t="str">
            <v>bemenet</v>
          </cell>
          <cell r="K130" t="str">
            <v>Entrada</v>
          </cell>
          <cell r="L130" t="str">
            <v>输入</v>
          </cell>
        </row>
        <row r="132">
          <cell r="C132" t="str">
            <v>Nutzungsgrad des PV-Generators</v>
          </cell>
          <cell r="D132" t="str">
            <v>utilized energy / available energy ratio of PV generator</v>
          </cell>
          <cell r="E132" t="str">
            <v>Degré d'utilisation de l'installation solaire</v>
          </cell>
          <cell r="F132" t="str">
            <v>Grado de utilización del generador PV</v>
          </cell>
          <cell r="G132" t="str">
            <v>grado di sfruttamento del generatore FV</v>
          </cell>
          <cell r="H132" t="str">
            <v>Rendement PV Installatie</v>
          </cell>
          <cell r="I132" t="str">
            <v>Grau d'utilització del generador FV</v>
          </cell>
          <cell r="J132" t="str">
            <v>PV generátor kihasználtsági foka</v>
          </cell>
          <cell r="K132" t="str">
            <v>Grau da utilização do gerador FV</v>
          </cell>
          <cell r="L132" t="str">
            <v>实际利用的能量／光电板可利用能量</v>
          </cell>
        </row>
        <row r="133">
          <cell r="C133" t="str">
            <v>Energieverteilung [%]</v>
          </cell>
          <cell r="D133" t="str">
            <v>distribution of Energy [%]</v>
          </cell>
          <cell r="E133" t="str">
            <v>Distribution d'énergie [%]</v>
          </cell>
          <cell r="F133" t="str">
            <v>Distribución de la energía [%]</v>
          </cell>
          <cell r="G133" t="str">
            <v>distribuzione dell'energia [%]</v>
          </cell>
          <cell r="H133" t="str">
            <v>Energieverdeling(%)</v>
          </cell>
          <cell r="I133" t="str">
            <v>Distribució de la energia [%]</v>
          </cell>
          <cell r="J133" t="str">
            <v>energiaeloszlás [%]</v>
          </cell>
          <cell r="K133" t="str">
            <v>Distribuição da energía (%)</v>
          </cell>
          <cell r="L133" t="str">
            <v>能量分布［％］</v>
          </cell>
        </row>
        <row r="134">
          <cell r="C134" t="str">
            <v>Leistung PV-Generator [kW/kWp]</v>
          </cell>
          <cell r="D134" t="str">
            <v>power PV generator [kW/kWp]</v>
          </cell>
          <cell r="E134" t="str">
            <v xml:space="preserve">Puissance de l'installation solaire [kW/kWp] </v>
          </cell>
          <cell r="F134" t="str">
            <v>Potencia del generador PV [kW/kWp]</v>
          </cell>
          <cell r="G134" t="str">
            <v>potenza generatore FV [kW/kWp]</v>
          </cell>
          <cell r="H134" t="str">
            <v>Vermogen PV Installatie(kW/kWp)</v>
          </cell>
          <cell r="I134" t="str">
            <v>Potència del generador FV [kW/kWp]</v>
          </cell>
          <cell r="J134" t="str">
            <v>a PV generátor teljesítménye [kW/kWp]</v>
          </cell>
          <cell r="K134" t="str">
            <v>Potência do gerador FV (kW/kWp)</v>
          </cell>
          <cell r="L134" t="str">
            <v>光电板输出功率［kW/kWp］</v>
          </cell>
        </row>
        <row r="135">
          <cell r="C135" t="str">
            <v>Statistik PV-Generatorleistung</v>
          </cell>
          <cell r="D135" t="str">
            <v>statistic PV generator power</v>
          </cell>
          <cell r="E135" t="str">
            <v>Statistiques de la puissance de l'installation solaire</v>
          </cell>
          <cell r="F135" t="str">
            <v>Estadística de potencia del generador PV</v>
          </cell>
          <cell r="G135" t="str">
            <v>statistica della potenza del generatore FV</v>
          </cell>
          <cell r="H135" t="str">
            <v>Statistiek vermogen PV Installatie</v>
          </cell>
          <cell r="I135" t="str">
            <v>Estadística de potència del generador FV</v>
          </cell>
          <cell r="J135" t="str">
            <v>a PV generátorteljesítmény statisztikája</v>
          </cell>
          <cell r="K135" t="str">
            <v>estatística da potência do gerador fotovoltáico</v>
          </cell>
          <cell r="L135" t="str">
            <v>光电板发电功率统计</v>
          </cell>
        </row>
        <row r="136">
          <cell r="C136" t="str">
            <v>Freiburg, Südausrichtung</v>
          </cell>
          <cell r="D136" t="str">
            <v>Freiburg (south Germany), oriented to the south</v>
          </cell>
          <cell r="E136" t="str">
            <v>Fribourg (Allemagne du Sud), orientation au sud</v>
          </cell>
          <cell r="F136" t="str">
            <v>Freiburg (Alemania del sur), orientación al sur</v>
          </cell>
          <cell r="G136" t="str">
            <v>Friburgo, orientato verso sud</v>
          </cell>
          <cell r="H136" t="str">
            <v>Freiburg, (Zuid Duitsland) Orientatierichting</v>
          </cell>
          <cell r="I136" t="str">
            <v>Freiburg (Alemanya del sud), orientació al sud</v>
          </cell>
          <cell r="J136" t="str">
            <v>Freiburg, déli fekvésű</v>
          </cell>
          <cell r="K136" t="str">
            <v>Freiburg, Alemanha do Sul</v>
          </cell>
          <cell r="L136" t="str">
            <v>费来堡（德国南部），光板朝南安装</v>
          </cell>
        </row>
        <row r="137">
          <cell r="C137" t="str">
            <v>Ort, Ausrichtung</v>
          </cell>
          <cell r="D137" t="str">
            <v>location, orientation</v>
          </cell>
          <cell r="E137" t="str">
            <v>Localité, orientation</v>
          </cell>
          <cell r="F137" t="str">
            <v>Lugar, orientación</v>
          </cell>
          <cell r="G137" t="str">
            <v>localitá, orientamento</v>
          </cell>
          <cell r="H137" t="str">
            <v>Plaats Orientatierichting</v>
          </cell>
          <cell r="I137" t="str">
            <v>Lloc, orientació</v>
          </cell>
          <cell r="J137" t="str">
            <v>hely, irány</v>
          </cell>
          <cell r="K137" t="str">
            <v>Localidade, orientação</v>
          </cell>
          <cell r="L137" t="str">
            <v>地点，朝向</v>
          </cell>
        </row>
        <row r="138">
          <cell r="C138" t="str">
            <v>Norm.</v>
          </cell>
          <cell r="D138" t="str">
            <v>norm.</v>
          </cell>
          <cell r="E138" t="str">
            <v>Norm.</v>
          </cell>
          <cell r="F138" t="str">
            <v>Norm.</v>
          </cell>
          <cell r="G138" t="str">
            <v>norm.</v>
          </cell>
          <cell r="H138" t="str">
            <v>norm.</v>
          </cell>
          <cell r="I138" t="str">
            <v>Norm.</v>
          </cell>
          <cell r="J138" t="str">
            <v>norm.</v>
          </cell>
          <cell r="K138" t="str">
            <v>Norm.</v>
          </cell>
          <cell r="L138" t="str">
            <v>额定值</v>
          </cell>
        </row>
        <row r="139">
          <cell r="C139" t="str">
            <v>Leistung</v>
          </cell>
          <cell r="D139" t="str">
            <v>power</v>
          </cell>
          <cell r="E139" t="str">
            <v xml:space="preserve">Puissance    </v>
          </cell>
          <cell r="F139" t="str">
            <v xml:space="preserve">Potencia   </v>
          </cell>
          <cell r="G139" t="str">
            <v>potenza</v>
          </cell>
          <cell r="H139" t="str">
            <v>Vermogen</v>
          </cell>
          <cell r="I139" t="str">
            <v>Potència</v>
          </cell>
          <cell r="J139" t="str">
            <v>teljesítmény</v>
          </cell>
          <cell r="K139" t="str">
            <v xml:space="preserve">Potência </v>
          </cell>
          <cell r="L139" t="str">
            <v>功率</v>
          </cell>
        </row>
        <row r="140">
          <cell r="C140" t="str">
            <v>Eingangs-</v>
          </cell>
          <cell r="D140" t="str">
            <v>input</v>
          </cell>
          <cell r="E140" t="str">
            <v>Puissance</v>
          </cell>
          <cell r="F140" t="str">
            <v>Potencia</v>
          </cell>
          <cell r="G140" t="str">
            <v>potenza</v>
          </cell>
          <cell r="H140" t="str">
            <v>Ingangs-</v>
          </cell>
          <cell r="I140" t="str">
            <v>Potència</v>
          </cell>
          <cell r="J140" t="str">
            <v>bemenet</v>
          </cell>
          <cell r="K140" t="str">
            <v>Potência</v>
          </cell>
          <cell r="L140" t="str">
            <v>输入</v>
          </cell>
        </row>
        <row r="141">
          <cell r="C141" t="str">
            <v>Leistung</v>
          </cell>
          <cell r="D141" t="str">
            <v>power</v>
          </cell>
          <cell r="E141" t="str">
            <v>d'entrée</v>
          </cell>
          <cell r="F141" t="str">
            <v>de entrada</v>
          </cell>
          <cell r="G141" t="str">
            <v>in ingresso</v>
          </cell>
          <cell r="H141" t="str">
            <v>Vermogen</v>
          </cell>
          <cell r="I141" t="str">
            <v>d'entrada</v>
          </cell>
          <cell r="J141" t="str">
            <v>teljesítmény</v>
          </cell>
          <cell r="K141" t="str">
            <v>da entrada</v>
          </cell>
          <cell r="L141" t="str">
            <v>功率</v>
          </cell>
        </row>
        <row r="142">
          <cell r="C142" t="str">
            <v>P/Ppeak</v>
          </cell>
          <cell r="D142" t="str">
            <v>P/Ppeak</v>
          </cell>
          <cell r="E142" t="str">
            <v>P/Ppeak</v>
          </cell>
          <cell r="F142" t="str">
            <v>P/Ppeak</v>
          </cell>
          <cell r="G142" t="str">
            <v>P/Ppeak</v>
          </cell>
          <cell r="H142" t="str">
            <v>P/Ppeak</v>
          </cell>
          <cell r="I142" t="str">
            <v>P/Ppic</v>
          </cell>
          <cell r="J142" t="str">
            <v>P/Ppeak</v>
          </cell>
          <cell r="K142" t="str">
            <v>P/Ppeak</v>
          </cell>
          <cell r="L142" t="str">
            <v>Ｐ／Ｐ峰值</v>
          </cell>
        </row>
        <row r="143">
          <cell r="C143" t="str">
            <v>Energieangebot</v>
          </cell>
          <cell r="D143" t="str">
            <v>available energy</v>
          </cell>
          <cell r="E143" t="str">
            <v>Energie disponible</v>
          </cell>
          <cell r="F143" t="str">
            <v>Energía disponible</v>
          </cell>
          <cell r="G143" t="str">
            <v>energia offerta</v>
          </cell>
          <cell r="H143" t="str">
            <v>Energie aanbod</v>
          </cell>
          <cell r="I143" t="str">
            <v>Energia disponible</v>
          </cell>
          <cell r="J143" t="str">
            <v>elérhető energia</v>
          </cell>
          <cell r="K143" t="str">
            <v>Energía disponivel</v>
          </cell>
          <cell r="L143" t="str">
            <v>可利用能量</v>
          </cell>
        </row>
        <row r="144">
          <cell r="C144" t="str">
            <v>normiert</v>
          </cell>
          <cell r="D144" t="str">
            <v>normalized</v>
          </cell>
          <cell r="E144" t="str">
            <v>standardisé</v>
          </cell>
          <cell r="F144" t="str">
            <v>estandardización</v>
          </cell>
          <cell r="G144" t="str">
            <v>normalized</v>
          </cell>
          <cell r="H144" t="str">
            <v>Genormaliseerd</v>
          </cell>
          <cell r="I144" t="str">
            <v>estandardització</v>
          </cell>
          <cell r="J144" t="str">
            <v>normalizált</v>
          </cell>
          <cell r="K144" t="str">
            <v>Norm.</v>
          </cell>
          <cell r="L144" t="str">
            <v>均化值</v>
          </cell>
        </row>
        <row r="145">
          <cell r="C145" t="str">
            <v>[%]</v>
          </cell>
          <cell r="E145" t="str">
            <v>[%]</v>
          </cell>
          <cell r="F145" t="str">
            <v>[%]</v>
          </cell>
          <cell r="G145" t="str">
            <v>[%]</v>
          </cell>
          <cell r="H145" t="str">
            <v>[%]</v>
          </cell>
          <cell r="I145" t="str">
            <v>[%]</v>
          </cell>
          <cell r="J145" t="str">
            <v>[%]</v>
          </cell>
          <cell r="K145" t="str">
            <v>(%)</v>
          </cell>
        </row>
        <row r="146">
          <cell r="C146" t="str">
            <v>Zwischen-</v>
          </cell>
          <cell r="D146" t="str">
            <v>temporary</v>
          </cell>
          <cell r="E146" t="str">
            <v>Résultats</v>
          </cell>
          <cell r="F146" t="str">
            <v xml:space="preserve">Cálculos </v>
          </cell>
          <cell r="G146" t="str">
            <v>calcolo</v>
          </cell>
          <cell r="H146" t="str">
            <v>Tussen-</v>
          </cell>
          <cell r="I146" t="str">
            <v>Resultats</v>
          </cell>
          <cell r="J146" t="str">
            <v>átmeneti</v>
          </cell>
          <cell r="K146" t="str">
            <v>Cálculo</v>
          </cell>
          <cell r="L146" t="str">
            <v>临时</v>
          </cell>
        </row>
        <row r="147">
          <cell r="C147" t="str">
            <v>rechnung</v>
          </cell>
          <cell r="D147" t="str">
            <v>results</v>
          </cell>
          <cell r="E147" t="str">
            <v>intermediaires</v>
          </cell>
          <cell r="F147" t="str">
            <v>intermedios</v>
          </cell>
          <cell r="G147" t="str">
            <v>provvisorio</v>
          </cell>
          <cell r="H147" t="str">
            <v>resultaten</v>
          </cell>
          <cell r="I147" t="str">
            <v>intermitjos</v>
          </cell>
          <cell r="J147" t="str">
            <v>eredmények</v>
          </cell>
          <cell r="K147" t="str">
            <v>entermedio</v>
          </cell>
          <cell r="L147" t="str">
            <v>结果</v>
          </cell>
        </row>
        <row r="148">
          <cell r="C148" t="str">
            <v>Häufigkeit</v>
          </cell>
          <cell r="D148" t="str">
            <v>frequency</v>
          </cell>
          <cell r="E148" t="str">
            <v>Fréquence</v>
          </cell>
          <cell r="F148" t="str">
            <v>Frecuencia</v>
          </cell>
          <cell r="G148" t="str">
            <v>frequenza</v>
          </cell>
          <cell r="H148" t="str">
            <v>frequentie</v>
          </cell>
          <cell r="I148" t="str">
            <v>Freqüència</v>
          </cell>
          <cell r="J148" t="str">
            <v>gyakoriság</v>
          </cell>
          <cell r="K148" t="str">
            <v>frequencia</v>
          </cell>
          <cell r="L148" t="str">
            <v>频率分布</v>
          </cell>
        </row>
        <row r="149">
          <cell r="C149" t="str">
            <v>Ppeak/P</v>
          </cell>
          <cell r="D149" t="str">
            <v>Ppeak/P</v>
          </cell>
          <cell r="E149" t="str">
            <v>Ppeak/P</v>
          </cell>
          <cell r="F149" t="str">
            <v>Ppeak/P</v>
          </cell>
          <cell r="G149" t="str">
            <v>Ppeak/P</v>
          </cell>
          <cell r="H149" t="str">
            <v>Ppeak/P</v>
          </cell>
          <cell r="I149" t="str">
            <v>Ppic/P</v>
          </cell>
          <cell r="J149" t="str">
            <v>Ppeak/P</v>
          </cell>
          <cell r="K149" t="str">
            <v>Ppeak/P</v>
          </cell>
          <cell r="L149" t="str">
            <v>Ｐ峰值／Ｐ</v>
          </cell>
        </row>
        <row r="150">
          <cell r="C150" t="str">
            <v>Generatorstrom</v>
          </cell>
          <cell r="D150" t="str">
            <v>PV current</v>
          </cell>
          <cell r="E150" t="str">
            <v>Courant de l'installation solaire</v>
          </cell>
          <cell r="F150" t="str">
            <v>Corriente del generador</v>
          </cell>
          <cell r="G150" t="str">
            <v>corrente FV</v>
          </cell>
          <cell r="H150" t="str">
            <v>PV Stroom</v>
          </cell>
          <cell r="I150" t="str">
            <v>Corrent del generador</v>
          </cell>
          <cell r="J150" t="str">
            <v>generátoráram</v>
          </cell>
          <cell r="K150" t="str">
            <v>Corrente do gerador</v>
          </cell>
          <cell r="L150" t="str">
            <v>光电板电流</v>
          </cell>
        </row>
        <row r="151">
          <cell r="C151" t="str">
            <v>in Abh. der</v>
          </cell>
          <cell r="D151" t="str">
            <v>in resp. to</v>
          </cell>
          <cell r="E151" t="str">
            <v>selon la radiation</v>
          </cell>
          <cell r="F151" t="str">
            <v>dependente de la</v>
          </cell>
          <cell r="G151" t="str">
            <v>in relazione al</v>
          </cell>
          <cell r="H151" t="str">
            <v>Afhankelijk van</v>
          </cell>
          <cell r="I151" t="str">
            <v>depenen de la</v>
          </cell>
          <cell r="J151" t="str">
            <v>valamire vonatkozólag</v>
          </cell>
          <cell r="K151" t="str">
            <v>em dependencia da</v>
          </cell>
          <cell r="L151" t="str">
            <v>按</v>
          </cell>
        </row>
        <row r="152">
          <cell r="C152" t="str">
            <v>Einstrahlung</v>
          </cell>
          <cell r="D152" t="str">
            <v>insolation</v>
          </cell>
          <cell r="E152" t="str">
            <v>Radiation</v>
          </cell>
          <cell r="F152" t="str">
            <v xml:space="preserve">radiación </v>
          </cell>
          <cell r="G152" t="str">
            <v>irradiazione</v>
          </cell>
          <cell r="H152" t="str">
            <v>Instraling</v>
          </cell>
          <cell r="I152" t="str">
            <v>radiació</v>
          </cell>
          <cell r="J152" t="str">
            <v>besugárzás</v>
          </cell>
          <cell r="K152" t="str">
            <v>radiação</v>
          </cell>
          <cell r="L152" t="str">
            <v>光照</v>
          </cell>
        </row>
        <row r="153">
          <cell r="C153" t="str">
            <v>genutzter</v>
          </cell>
          <cell r="D153" t="str">
            <v>utilized</v>
          </cell>
          <cell r="E153" t="str">
            <v>utilisée</v>
          </cell>
          <cell r="F153" t="str">
            <v>utilizada</v>
          </cell>
          <cell r="G153" t="str">
            <v>utilizzata</v>
          </cell>
          <cell r="H153" t="str">
            <v>verbruikt</v>
          </cell>
          <cell r="I153" t="str">
            <v>utilitzada</v>
          </cell>
          <cell r="J153" t="str">
            <v>felhasznált</v>
          </cell>
          <cell r="K153" t="str">
            <v>utilizada</v>
          </cell>
          <cell r="L153" t="str">
            <v>实际利用能量</v>
          </cell>
        </row>
        <row r="154">
          <cell r="C154" t="str">
            <v>Anteil</v>
          </cell>
          <cell r="D154" t="str">
            <v>part</v>
          </cell>
          <cell r="E154" t="str">
            <v>Partie</v>
          </cell>
          <cell r="F154" t="str">
            <v xml:space="preserve">Parte    </v>
          </cell>
          <cell r="G154" t="str">
            <v>parte</v>
          </cell>
          <cell r="H154" t="str">
            <v>Aandeel</v>
          </cell>
          <cell r="I154" t="str">
            <v>Part</v>
          </cell>
          <cell r="J154" t="str">
            <v>rész</v>
          </cell>
          <cell r="K154" t="str">
            <v>parte</v>
          </cell>
          <cell r="L154" t="str">
            <v>部分</v>
          </cell>
        </row>
        <row r="155">
          <cell r="C155" t="str">
            <v>nicht nutz-</v>
          </cell>
          <cell r="D155" t="str">
            <v>not utilized</v>
          </cell>
          <cell r="E155" t="str">
            <v>Partie</v>
          </cell>
          <cell r="F155" t="str">
            <v xml:space="preserve">Parte    </v>
          </cell>
          <cell r="G155" t="str">
            <v>parte</v>
          </cell>
          <cell r="H155" t="str">
            <v>niet bruikbaar-</v>
          </cell>
          <cell r="I155" t="str">
            <v>Part</v>
          </cell>
          <cell r="J155" t="str">
            <v>nem hasznosított</v>
          </cell>
          <cell r="K155" t="str">
            <v>parte utilizada</v>
          </cell>
          <cell r="L155" t="str">
            <v>没有利用的能量</v>
          </cell>
        </row>
        <row r="156">
          <cell r="C156" t="str">
            <v>barer Anteil</v>
          </cell>
          <cell r="D156" t="str">
            <v>part</v>
          </cell>
          <cell r="E156" t="str">
            <v>non-utilisable</v>
          </cell>
          <cell r="F156" t="str">
            <v>no utilizable</v>
          </cell>
          <cell r="G156" t="str">
            <v>non utilizzabile</v>
          </cell>
          <cell r="H156" t="str">
            <v>Zuiver Aandeel</v>
          </cell>
          <cell r="I156" t="str">
            <v>no utilitzable</v>
          </cell>
          <cell r="J156" t="str">
            <v>rész</v>
          </cell>
          <cell r="K156" t="str">
            <v>parte não utilizada</v>
          </cell>
          <cell r="L156" t="str">
            <v>部分</v>
          </cell>
        </row>
        <row r="157">
          <cell r="C157" t="str">
            <v>Energie</v>
          </cell>
          <cell r="D157" t="str">
            <v>energy</v>
          </cell>
          <cell r="E157" t="str">
            <v>Energie</v>
          </cell>
          <cell r="F157" t="str">
            <v xml:space="preserve">Energía  </v>
          </cell>
          <cell r="G157" t="str">
            <v>energia</v>
          </cell>
          <cell r="H157" t="str">
            <v>Energie</v>
          </cell>
          <cell r="I157" t="str">
            <v>Energia</v>
          </cell>
          <cell r="J157" t="str">
            <v>energia</v>
          </cell>
          <cell r="K157" t="str">
            <v>Energía</v>
          </cell>
          <cell r="L157" t="str">
            <v>能量</v>
          </cell>
        </row>
        <row r="158">
          <cell r="C158" t="str">
            <v>Eigenes Leistungsprofil</v>
          </cell>
          <cell r="D158" t="str">
            <v>own power profile</v>
          </cell>
          <cell r="E158" t="str">
            <v>Profil de puissance propre</v>
          </cell>
          <cell r="F158" t="str">
            <v>Perfil de potencia propio</v>
          </cell>
          <cell r="G158" t="str">
            <v>profilo produttività proprio</v>
          </cell>
          <cell r="H158" t="str">
            <v>Eigen Vermogensprofiel</v>
          </cell>
          <cell r="I158" t="str">
            <v>Perfil de potència propi</v>
          </cell>
          <cell r="J158" t="str">
            <v>saját teljesítményprofil</v>
          </cell>
          <cell r="K158" t="str">
            <v>perfil da força propria</v>
          </cell>
          <cell r="L158" t="str">
            <v>用户功率数据</v>
          </cell>
        </row>
        <row r="159">
          <cell r="C159" t="str">
            <v>Integral</v>
          </cell>
          <cell r="D159" t="str">
            <v>integral</v>
          </cell>
          <cell r="E159" t="str">
            <v xml:space="preserve">intégralement </v>
          </cell>
          <cell r="F159" t="str">
            <v>integral</v>
          </cell>
          <cell r="G159" t="str">
            <v>integrale</v>
          </cell>
          <cell r="H159" t="str">
            <v xml:space="preserve">intergraal </v>
          </cell>
          <cell r="I159" t="str">
            <v>integral</v>
          </cell>
          <cell r="J159" t="str">
            <v>integrál</v>
          </cell>
          <cell r="K159" t="str">
            <v>integral</v>
          </cell>
          <cell r="L159" t="str">
            <v>整数化</v>
          </cell>
        </row>
        <row r="161">
          <cell r="C161" t="str">
            <v>(in Vorbereitung)</v>
          </cell>
          <cell r="D161" t="str">
            <v>(in preparation)</v>
          </cell>
          <cell r="E161" t="str">
            <v>(en préparation)</v>
          </cell>
          <cell r="F161" t="str">
            <v>(en la preparación)</v>
          </cell>
          <cell r="G161" t="str">
            <v>(in preparazione)</v>
          </cell>
          <cell r="H161" t="str">
            <v>(in voorbereiding)</v>
          </cell>
          <cell r="I161" t="str">
            <v>(en preparació)</v>
          </cell>
          <cell r="J161" t="str">
            <v>(előkészületben)</v>
          </cell>
          <cell r="K161" t="str">
            <v>em preparação</v>
          </cell>
        </row>
        <row r="162">
          <cell r="C162" t="str">
            <v>Uac, min.</v>
          </cell>
          <cell r="D162" t="str">
            <v>Vac, min.</v>
          </cell>
          <cell r="E162" t="str">
            <v>Uca, min.</v>
          </cell>
          <cell r="F162" t="str">
            <v>Uca, min.</v>
          </cell>
          <cell r="G162" t="str">
            <v>Uac, minima</v>
          </cell>
          <cell r="H162" t="str">
            <v>Uac, min.</v>
          </cell>
          <cell r="I162" t="str">
            <v>Uca,  mín.</v>
          </cell>
          <cell r="J162" t="str">
            <v>Vac, min.</v>
          </cell>
          <cell r="K162" t="str">
            <v>Uca, mín.</v>
          </cell>
          <cell r="L162" t="str">
            <v>Vac, min.</v>
          </cell>
        </row>
        <row r="163">
          <cell r="C163" t="str">
            <v>Uac, Nenn</v>
          </cell>
          <cell r="D163" t="str">
            <v>Vac, nom</v>
          </cell>
          <cell r="E163" t="str">
            <v>Uca, nom</v>
          </cell>
          <cell r="F163" t="str">
            <v>Uca, nom</v>
          </cell>
          <cell r="G163" t="str">
            <v>Uac, nom</v>
          </cell>
          <cell r="H163" t="str">
            <v>Uac, nominaal</v>
          </cell>
          <cell r="I163" t="str">
            <v>Uca, nom</v>
          </cell>
          <cell r="J163" t="str">
            <v>Vac, névl.</v>
          </cell>
          <cell r="K163" t="str">
            <v>Uca, nominal</v>
          </cell>
          <cell r="L163" t="str">
            <v>Vac, 额定</v>
          </cell>
        </row>
        <row r="164">
          <cell r="C164" t="str">
            <v>Uac, max</v>
          </cell>
          <cell r="D164" t="str">
            <v>Vac, max</v>
          </cell>
          <cell r="E164" t="str">
            <v>Uca, max</v>
          </cell>
          <cell r="F164" t="str">
            <v>Uca, máx</v>
          </cell>
          <cell r="G164" t="str">
            <v>Uac, max</v>
          </cell>
          <cell r="H164" t="str">
            <v>Uac,max</v>
          </cell>
          <cell r="I164" t="str">
            <v>Uca, màx</v>
          </cell>
          <cell r="J164" t="str">
            <v>Vac, max.</v>
          </cell>
          <cell r="K164" t="str">
            <v>Uca, máx.</v>
          </cell>
          <cell r="L164" t="str">
            <v>Vac, max</v>
          </cell>
        </row>
        <row r="165">
          <cell r="C165" t="str">
            <v>Wichtiger Hinweis:</v>
          </cell>
          <cell r="D165" t="str">
            <v>Attention!</v>
          </cell>
          <cell r="E165" t="str">
            <v>Attention!</v>
          </cell>
          <cell r="F165" t="str">
            <v>Attention!</v>
          </cell>
          <cell r="G165" t="str">
            <v>Attention!</v>
          </cell>
          <cell r="H165" t="str">
            <v>LET OP!!!</v>
          </cell>
          <cell r="I165" t="str">
            <v>Atenció!</v>
          </cell>
          <cell r="J165" t="str">
            <v>Figyelmeztetés:</v>
          </cell>
          <cell r="K165" t="str">
            <v>Indicação importante:</v>
          </cell>
          <cell r="L165" t="str">
            <v>注意 !</v>
          </cell>
        </row>
        <row r="166">
          <cell r="C166" t="str">
            <v>Die vorliegende Auslegung wurde für Photovoltaikanlagen mit einem Standort in Mitteleuropa</v>
          </cell>
          <cell r="D166" t="str">
            <v>This check of a PV-plant has been designed for installations in middle Europe. These plants</v>
          </cell>
          <cell r="E166" t="str">
            <v>This check of a PV-plant has been designed for installations in middle Europe. These plants</v>
          </cell>
          <cell r="F166" t="str">
            <v>This check of a PV-plant has been designed for installations in middle Europe. These plants</v>
          </cell>
          <cell r="G166" t="str">
            <v>This check of a PV-plant has been designed for installations in middle Europe. These plants</v>
          </cell>
          <cell r="H166" t="str">
            <v>Het gemaakte ontwerp is alleen geschikt voor PV installatie's aan te leggen in een plaats in midden Europa.</v>
          </cell>
          <cell r="I166" t="str">
            <v>Aquest pre-dimensionament d'una planta FV ha estat dissenyat per instal·lacions a Europa central.</v>
          </cell>
          <cell r="J166" t="str">
            <v xml:space="preserve">A fenti adatsor Közép-Európában üzembe helyezendő, napenergiával működő </v>
          </cell>
          <cell r="K166" t="str">
            <v xml:space="preserve">Este dimensionamento foi desenhado para plantas FV na Europa central.  Por isso esta evoluação não é aplicavel sem modificações. </v>
          </cell>
          <cell r="L166" t="str">
            <v>本计算程序是以欧洲中部地区光照数据为基础，其光照数据为900 kWh/kWp.</v>
          </cell>
        </row>
        <row r="167">
          <cell r="C167" t="str">
            <v>erstellt. Diese Anlagen erzielen einen jährlichen Ertrag von ca. 900 kWh/kWp.</v>
          </cell>
          <cell r="D167" t="str">
            <v>reach an annual energy of 900 kWh/kWp. In particular at locations with higher solar insolation</v>
          </cell>
          <cell r="E167" t="str">
            <v>reach an annual energy of 900 kWh/kWp. In particular at locations with higher solar insolation</v>
          </cell>
          <cell r="F167" t="str">
            <v>reach an annual energy of 900 kWh/kWp. In particular at locations with higher solar insolation</v>
          </cell>
          <cell r="G167" t="str">
            <v>reach an annual energy of 900 kWh/kWp. In particular at locations with higher solar insolation</v>
          </cell>
          <cell r="H167" t="str">
            <v>Deze installatie's bereiken een jaarlijkse opbrengst van ca. 900 kWh / kWp.</v>
          </cell>
          <cell r="I167" t="str">
            <v>Aquestes plantes arriben a produir anualment 900 kWh/kWp. En particular per localitats amb</v>
          </cell>
          <cell r="J167" t="str">
            <v>készülékekre vonatkozik. Ezek évi kb. 900 kWh/kWp energiatremelést irányoznak elő.</v>
          </cell>
          <cell r="K167" t="str">
            <v>Essas plantas podem produzir 900 kWh/kWp por ano.</v>
          </cell>
          <cell r="L167" t="str">
            <v>对于拟安装地区的光照较高时，本程序中的光照数据则不适应，需要进行必要的修正。</v>
          </cell>
        </row>
        <row r="168">
          <cell r="C168" t="str">
            <v>Insbesondere in geografischen Lagen mit einer deutlich höheren Einstrahlung müssen die örtlichen</v>
          </cell>
          <cell r="D168" t="str">
            <v>the original evaluation isn't applicable without modification. The utilization of the local statistical</v>
          </cell>
          <cell r="E168" t="str">
            <v>the original evaluation isn't applicable without modification. The utilization of the local statistical</v>
          </cell>
          <cell r="F168" t="str">
            <v>the original evaluation isn't applicable without modification. The utilization of the local statistical</v>
          </cell>
          <cell r="G168" t="str">
            <v>the original evaluation isn't applicable without modification. The utilization of the local statistical</v>
          </cell>
          <cell r="H168" t="str">
            <v xml:space="preserve">Let wel, in geografische gebieden met een beduidend hogere instraling moeten, de daar geldende </v>
          </cell>
          <cell r="I168" t="str">
            <v>radiació solar més elevada, l'avaluació original no és aplicable sense modificació. La utilització</v>
          </cell>
          <cell r="J168" t="str">
            <v>Olyan helyeken, ahol az átlagosnál nagyobb a besugárzás, ott a helyi viszonyoknak</v>
          </cell>
          <cell r="K168" t="str">
            <v>Em algums lugares a radiação solar pode ser mais elevada.</v>
          </cell>
          <cell r="L168" t="str">
            <v>为更为合理的计算，需要采用当地的光照分布数据和温度数据进行计算。</v>
          </cell>
        </row>
        <row r="169">
          <cell r="C169" t="str">
            <v>Einstrahlungs- und Temperaturstatistiken für eine realistische Ertragsabschätzung verwendet werden!</v>
          </cell>
          <cell r="D169" t="str">
            <v>distribution of insolation and temperature is essential for a realistic estimation of the performance.</v>
          </cell>
          <cell r="E169" t="str">
            <v>distribution of insolation and temperature is essential for a realistic estimation of the performance.</v>
          </cell>
          <cell r="F169" t="str">
            <v>distribution of insolation and temperature is essential for a realistic estimation of the performance.</v>
          </cell>
          <cell r="G169" t="str">
            <v>distribution of insolation and temperature is essential for a realistic estimation of the performance.</v>
          </cell>
          <cell r="H169" t="str">
            <v>instralings- en temperatuursstatistieken gebruikt worden voor een realistische opbrengstschatting.</v>
          </cell>
          <cell r="I169" t="str">
            <v>de la distribució local estadística de radiació i temperatura és essencial per estimacions realístiques.</v>
          </cell>
          <cell r="J169" t="str">
            <v>megfelelő besugárzási és hőmérsékleti statisztikák alapján módosítani kell az adatokat.</v>
          </cell>
          <cell r="K169" t="str">
            <v>A radiação e a temperutura local são essenciais para estimações realistas.</v>
          </cell>
          <cell r="L169" t="str">
            <v xml:space="preserve"> </v>
          </cell>
        </row>
        <row r="171">
          <cell r="C171" t="str">
            <v>Generator kann bei trafolosen Geräten nicht geerdet werden!</v>
          </cell>
          <cell r="D171" t="str">
            <v>Grounding of PV generator is not possible with transformerless inverters!</v>
          </cell>
          <cell r="E171" t="str">
            <v>Grounding of PV generator is not possible with transformerless inverters!</v>
          </cell>
          <cell r="F171" t="str">
            <v>Grounding of PV generator is not possible with transformerless inverters!</v>
          </cell>
          <cell r="G171" t="str">
            <v>Grounding of PV generator is not possible with transformerless inverters!</v>
          </cell>
          <cell r="H171" t="str">
            <v>Grounding of PV generator is not possible with transformerless inverters!</v>
          </cell>
          <cell r="I171" t="str">
            <v>Grounding of PV generator is not possible with transformerless inverters!</v>
          </cell>
          <cell r="J171" t="str">
            <v>Grounding of PV generator is not possible with transformerless inverters!</v>
          </cell>
          <cell r="K171" t="str">
            <v>Grounding of PV generator is not possible with transformerless inverters!</v>
          </cell>
          <cell r="L171" t="str">
            <v>Grounding of PV generator is not possible with transformerless inverters!</v>
          </cell>
        </row>
        <row r="172">
          <cell r="C172" t="str">
            <v>Erdungsempfehlungen des Herstellers beachten!</v>
          </cell>
          <cell r="D172" t="str">
            <v>Please follow any grounding recommendation of manufacturer!</v>
          </cell>
          <cell r="E172" t="str">
            <v>Please follow any grounding recommendation of manufacturer!</v>
          </cell>
          <cell r="F172" t="str">
            <v>Please follow any grounding recommendation of manufacturer!</v>
          </cell>
          <cell r="G172" t="str">
            <v>Please follow any grounding recommendation of manufacturer!</v>
          </cell>
          <cell r="H172" t="str">
            <v>Please follow any grounding recommendation of manufacturer!</v>
          </cell>
          <cell r="I172" t="str">
            <v>Please follow any grounding recommendation of manufacturer!</v>
          </cell>
          <cell r="J172" t="str">
            <v>Please follow any grounding recommendation of manufacturer!</v>
          </cell>
          <cell r="K172" t="str">
            <v>Please follow any grounding recommendation of manufacturer!</v>
          </cell>
          <cell r="L172" t="str">
            <v>Please follow any grounding recommendation of manufacturer!</v>
          </cell>
        </row>
        <row r="174">
          <cell r="C174" t="str">
            <v>Material der Solarzellen</v>
          </cell>
          <cell r="D174" t="str">
            <v>Material of the solar cells</v>
          </cell>
          <cell r="E174" t="str">
            <v>matière des cellules solaires</v>
          </cell>
          <cell r="F174" t="str">
            <v>material de las células solares</v>
          </cell>
          <cell r="G174" t="str">
            <v>materiale delle pile solari</v>
          </cell>
          <cell r="H174" t="str">
            <v xml:space="preserve">material van de zonnecellen </v>
          </cell>
          <cell r="I174" t="str">
            <v>matèria de las células solares</v>
          </cell>
          <cell r="J174" t="str">
            <v>Material of the solar cells</v>
          </cell>
          <cell r="K174" t="str">
            <v>Material das células solares</v>
          </cell>
          <cell r="L174" t="str">
            <v>光电池材料</v>
          </cell>
        </row>
        <row r="175">
          <cell r="C175" t="str">
            <v>Temperaturkoeffizient der MPP-Spannung</v>
          </cell>
          <cell r="D175" t="str">
            <v>temp. coefficient of MPP voltage</v>
          </cell>
          <cell r="E175" t="str">
            <v>Coefficient thermique de la tension MPP</v>
          </cell>
          <cell r="F175" t="str">
            <v>Coeficiente de temperatura del voltaje MPP</v>
          </cell>
          <cell r="G175" t="str">
            <v>coefficiente termico della tensione MPP</v>
          </cell>
          <cell r="H175" t="str">
            <v>Temp. Coefficient  bij MPP-spanning</v>
          </cell>
          <cell r="I175" t="str">
            <v>Coeficient de temperatura de la tensió MPP</v>
          </cell>
          <cell r="J175" t="str">
            <v>az MPP fesz.hőmérsékleti együtthatója</v>
          </cell>
          <cell r="K175" t="str">
            <v>coeficiente da temperatura da voltagem MPP</v>
          </cell>
          <cell r="L175" t="str">
            <v>最大功率点电压温度系数</v>
          </cell>
        </row>
        <row r="176">
          <cell r="C176" t="str">
            <v>Temperaturkoeffizient des MPP-Stroms</v>
          </cell>
          <cell r="D176" t="str">
            <v>temp. coefficient of MPP current</v>
          </cell>
          <cell r="E176" t="str">
            <v>Coefficient thermique de la courant MPP</v>
          </cell>
          <cell r="F176" t="str">
            <v>Coeficiente de temperatura del corriente MPP</v>
          </cell>
          <cell r="G176" t="str">
            <v>coefficiente termico della corrente MPP</v>
          </cell>
          <cell r="H176" t="str">
            <v>Temp. Coefficient  bij MPP-Stroom</v>
          </cell>
          <cell r="I176" t="str">
            <v>Coeficient de temperatura de la corrent MPP</v>
          </cell>
          <cell r="J176" t="str">
            <v>az MPP áram hőmérsékleti együtthatója</v>
          </cell>
          <cell r="K176" t="str">
            <v>coefficiente da temperatura da corrente MPP</v>
          </cell>
          <cell r="L176" t="str">
            <v>电大功率点电流温度系数</v>
          </cell>
        </row>
        <row r="177">
          <cell r="C177" t="str">
            <v>Temperaturkoeffizient der Leerlaufspannung</v>
          </cell>
          <cell r="D177" t="str">
            <v>temp. coefficient of open circuit voltage</v>
          </cell>
          <cell r="E177" t="str">
            <v>Coefficient thermique de la tension à circuit ouvert</v>
          </cell>
          <cell r="F177" t="str">
            <v>Coeficiente de temperatura del voltaje en vacío</v>
          </cell>
          <cell r="G177" t="str">
            <v>coefficiente termico della tensione a vuoto</v>
          </cell>
          <cell r="H177" t="str">
            <v>Temp. Coefficient  bij Open Spanning</v>
          </cell>
          <cell r="I177" t="str">
            <v>Coeficient de temperatura de la tensió de circuit obert</v>
          </cell>
          <cell r="J177" t="str">
            <v>az üresjárati fesz.hőmérsékleti együtthatója</v>
          </cell>
          <cell r="K177" t="str">
            <v>coefficiente da temperatura da voltagem em vazio</v>
          </cell>
          <cell r="L177" t="str">
            <v>开路电压点温度系数</v>
          </cell>
        </row>
        <row r="178">
          <cell r="C178" t="str">
            <v>Temperaturkoeffizient des Kurzschlußstroms</v>
          </cell>
          <cell r="D178" t="str">
            <v>temp. coefficient of short circuit current</v>
          </cell>
          <cell r="E178" t="str">
            <v>Coefficient thermique de la courant de court-circuit</v>
          </cell>
          <cell r="F178" t="str">
            <v>Coeficiente de temperatura del corriente de cortocircuito</v>
          </cell>
          <cell r="G178" t="str">
            <v>coefficiente termico della corrente di corto circuito</v>
          </cell>
          <cell r="H178" t="str">
            <v>Temp. Coefficient  bij Kortsluitstroom</v>
          </cell>
          <cell r="I178" t="str">
            <v>Coeficient de temperatura de la corrent de curt circuit</v>
          </cell>
          <cell r="J178" t="str">
            <v>az rövidzárlati áram hőmérsékleti együtthatója</v>
          </cell>
          <cell r="L178" t="str">
            <v>短路电流温度系数</v>
          </cell>
        </row>
        <row r="179">
          <cell r="K179" t="str">
            <v>coefficiente da temperatura do curto-circuito</v>
          </cell>
        </row>
        <row r="180">
          <cell r="C180" t="str">
            <v>Angabe fehlt!</v>
          </cell>
          <cell r="D180" t="str">
            <v>no data!</v>
          </cell>
          <cell r="E180" t="str">
            <v>pas de données!</v>
          </cell>
          <cell r="F180" t="str">
            <v>no dato!</v>
          </cell>
          <cell r="G180" t="str">
            <v>nessun dati!</v>
          </cell>
          <cell r="H180" t="str">
            <v>Gedateerde fehlen!</v>
          </cell>
          <cell r="I180" t="str">
            <v>cap dades!</v>
          </cell>
          <cell r="J180" t="str">
            <v>no data!</v>
          </cell>
          <cell r="K180" t="str">
            <v>faltam dados</v>
          </cell>
          <cell r="L180" t="str">
            <v>无数据 !</v>
          </cell>
        </row>
        <row r="181">
          <cell r="C181" t="str">
            <v>geschätzt</v>
          </cell>
          <cell r="D181" t="str">
            <v>estimated</v>
          </cell>
          <cell r="E181" t="str">
            <v>estimé</v>
          </cell>
          <cell r="F181" t="str">
            <v>estimado</v>
          </cell>
          <cell r="G181" t="str">
            <v>valutato</v>
          </cell>
          <cell r="H181" t="str">
            <v>geschate</v>
          </cell>
          <cell r="I181" t="str">
            <v>estimado</v>
          </cell>
          <cell r="J181" t="str">
            <v>estimated</v>
          </cell>
          <cell r="K181" t="str">
            <v>estimado</v>
          </cell>
          <cell r="L181" t="str">
            <v>估算值</v>
          </cell>
        </row>
        <row r="186">
          <cell r="C186" t="str">
            <v>|--------------Letzte Zeile der Matrix 'Text' -----------Neue Zeilen ausschliesslich vor dieser Zeile einfügen !!!! ----------|</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klimaaktiv.at/photovoltaik-rechner" TargetMode="External"/><Relationship Id="rId2" Type="http://schemas.openxmlformats.org/officeDocument/2006/relationships/hyperlink" Target="http://www.klimaaktiv.at/tools/erneuerbare/pv_rechner.html" TargetMode="External"/><Relationship Id="rId1" Type="http://schemas.openxmlformats.org/officeDocument/2006/relationships/hyperlink" Target="mailto:f.jetzinger@linzag.at"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www.energieinstitut.at/tools/susi/" TargetMode="External"/><Relationship Id="rId1" Type="http://schemas.openxmlformats.org/officeDocument/2006/relationships/hyperlink" Target="http://www.oem-ag.at/fileadmin/user_upload/Dokumente/kontingent/Kontingent_tagesaktuelles_Unterstuetzungsvolumen_in_EUR.xls"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www.technik.steiermark.at/cms/beitrag/12885369/161967760/" TargetMode="External"/><Relationship Id="rId13" Type="http://schemas.openxmlformats.org/officeDocument/2006/relationships/hyperlink" Target="https://www.eag-abwicklungsstelle.at/wissen/made-in-europe-bonus/" TargetMode="External"/><Relationship Id="rId18" Type="http://schemas.openxmlformats.org/officeDocument/2006/relationships/printerSettings" Target="../printerSettings/printerSettings6.bin"/><Relationship Id="rId3" Type="http://schemas.openxmlformats.org/officeDocument/2006/relationships/hyperlink" Target="https://www.wien.gv.at/amtshelfer/bauen-wohnen/energie/alternativenergie/speicheranlagen.html" TargetMode="External"/><Relationship Id="rId7" Type="http://schemas.openxmlformats.org/officeDocument/2006/relationships/hyperlink" Target="https://www.ktn.gv.at/Service/Formulare-und-Leistungen" TargetMode="External"/><Relationship Id="rId12" Type="http://schemas.openxmlformats.org/officeDocument/2006/relationships/hyperlink" Target="https://www.noe.gv.at/noe/Energie/PV-Ueberdachung_Parkplaetze.html" TargetMode="External"/><Relationship Id="rId17" Type="http://schemas.openxmlformats.org/officeDocument/2006/relationships/hyperlink" Target="https://pvaustria.at/nullsteuersatz/" TargetMode="External"/><Relationship Id="rId2" Type="http://schemas.openxmlformats.org/officeDocument/2006/relationships/hyperlink" Target="https://www.wien.gv.at/amtshelfer/bauen-wohnen/energie/alternativenergie/oekostromanlagen.html" TargetMode="External"/><Relationship Id="rId16" Type="http://schemas.openxmlformats.org/officeDocument/2006/relationships/hyperlink" Target="https://www.eag-abwicklungsstelle.at/wissen/made-in-europe-bonus/" TargetMode="External"/><Relationship Id="rId1" Type="http://schemas.openxmlformats.org/officeDocument/2006/relationships/hyperlink" Target="https://www.salzburg.gv.at/themen/energie/energiefoerderung/photovoltaik-privatehaushalte" TargetMode="External"/><Relationship Id="rId6" Type="http://schemas.openxmlformats.org/officeDocument/2006/relationships/hyperlink" Target="https://vorarlberg.at/-/oekostrom-und-energiegemeinschaften" TargetMode="External"/><Relationship Id="rId11" Type="http://schemas.openxmlformats.org/officeDocument/2006/relationships/hyperlink" Target="https://www.oem-ag.at/de/foerderung/" TargetMode="External"/><Relationship Id="rId5" Type="http://schemas.openxmlformats.org/officeDocument/2006/relationships/hyperlink" Target="https://www.eag-abwicklungsstelle.at/" TargetMode="External"/><Relationship Id="rId15" Type="http://schemas.openxmlformats.org/officeDocument/2006/relationships/hyperlink" Target="https://www.burgenland.at/fileadmin/user_upload/Downloads/Wohnbaufoerderung/2024/Richtlinie_2025_Stromspeicher_11.12.2024_final_1.pdf" TargetMode="External"/><Relationship Id="rId10" Type="http://schemas.openxmlformats.org/officeDocument/2006/relationships/hyperlink" Target="https://www.land-oberoesterreich.gv.at/286613.htm" TargetMode="External"/><Relationship Id="rId19" Type="http://schemas.openxmlformats.org/officeDocument/2006/relationships/drawing" Target="../drawings/drawing6.xml"/><Relationship Id="rId4" Type="http://schemas.openxmlformats.org/officeDocument/2006/relationships/hyperlink" Target="https://pvaustria.at/rechtlicher-rahmen/" TargetMode="External"/><Relationship Id="rId9" Type="http://schemas.openxmlformats.org/officeDocument/2006/relationships/hyperlink" Target="https://www.tirol.gv.at/buergerservice/e-government/formulare/photovoltaik-solaranlagen-und-sonnenschutzfoerderung-fuer-wohnhaeuser/" TargetMode="External"/><Relationship Id="rId14" Type="http://schemas.openxmlformats.org/officeDocument/2006/relationships/hyperlink" Target="https://www.ktn.gv.at/Service/Formulare-und-Leistungen"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9.bin"/><Relationship Id="rId1" Type="http://schemas.openxmlformats.org/officeDocument/2006/relationships/hyperlink" Target="http://www.e-control.at/portal/page/portal/ECONTROL_HOME/STROM/STROMPREISE/ENDVERBRAUCHERPREI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6">
    <tabColor indexed="22"/>
  </sheetPr>
  <dimension ref="A4:M94"/>
  <sheetViews>
    <sheetView showRowColHeaders="0" topLeftCell="A18" zoomScale="85" zoomScaleNormal="85" zoomScaleSheetLayoutView="90" workbookViewId="0">
      <selection activeCell="M69" sqref="M69"/>
    </sheetView>
  </sheetViews>
  <sheetFormatPr baseColWidth="10" defaultColWidth="10.7109375" defaultRowHeight="12.75" x14ac:dyDescent="0.2"/>
  <cols>
    <col min="1" max="16384" width="10.7109375" style="54"/>
  </cols>
  <sheetData>
    <row r="4" spans="1:9" ht="9" customHeight="1" x14ac:dyDescent="0.2"/>
    <row r="5" spans="1:9" ht="18" x14ac:dyDescent="0.25">
      <c r="A5" s="492" t="s">
        <v>1204</v>
      </c>
      <c r="B5" s="492"/>
      <c r="C5" s="492"/>
      <c r="D5" s="492"/>
      <c r="E5" s="492"/>
      <c r="F5" s="492"/>
      <c r="G5" s="492"/>
      <c r="H5" s="492"/>
      <c r="I5" s="492"/>
    </row>
    <row r="6" spans="1:9" ht="15.75" customHeight="1" x14ac:dyDescent="0.25">
      <c r="A6" s="493"/>
      <c r="B6" s="494"/>
      <c r="C6" s="494"/>
      <c r="D6" s="494"/>
      <c r="E6" s="494"/>
      <c r="F6" s="494"/>
      <c r="G6" s="494"/>
      <c r="H6" s="494"/>
      <c r="I6" s="494"/>
    </row>
    <row r="14" spans="1:9" x14ac:dyDescent="0.2">
      <c r="B14" s="16"/>
      <c r="E14" s="3"/>
      <c r="F14" s="15"/>
      <c r="G14" s="3"/>
      <c r="H14" s="3"/>
    </row>
    <row r="15" spans="1:9" x14ac:dyDescent="0.2">
      <c r="E15" s="3"/>
      <c r="F15" s="15"/>
      <c r="G15" s="3"/>
      <c r="H15" s="3"/>
    </row>
    <row r="16" spans="1:9" x14ac:dyDescent="0.2">
      <c r="E16" s="3"/>
      <c r="F16" s="15"/>
      <c r="G16" s="3"/>
      <c r="H16" s="3"/>
    </row>
    <row r="17" spans="2:11" x14ac:dyDescent="0.2">
      <c r="E17" s="3"/>
      <c r="F17" s="15"/>
      <c r="G17" s="3"/>
      <c r="H17" s="3"/>
    </row>
    <row r="18" spans="2:11" x14ac:dyDescent="0.2">
      <c r="E18" s="3"/>
      <c r="F18" s="15"/>
      <c r="G18" s="3"/>
      <c r="H18" s="3"/>
    </row>
    <row r="20" spans="2:11" x14ac:dyDescent="0.2">
      <c r="B20" s="16"/>
    </row>
    <row r="21" spans="2:11" x14ac:dyDescent="0.2">
      <c r="E21" s="3"/>
      <c r="F21" s="15"/>
      <c r="G21" s="3"/>
      <c r="H21" s="3"/>
      <c r="I21" s="15"/>
      <c r="J21" s="15"/>
      <c r="K21" s="3"/>
    </row>
    <row r="22" spans="2:11" x14ac:dyDescent="0.2">
      <c r="E22" s="3"/>
      <c r="F22" s="15"/>
      <c r="G22" s="3"/>
      <c r="H22" s="3"/>
      <c r="I22" s="15"/>
      <c r="J22" s="15"/>
      <c r="K22" s="3"/>
    </row>
    <row r="23" spans="2:11" x14ac:dyDescent="0.2">
      <c r="I23" s="15"/>
      <c r="J23" s="15"/>
      <c r="K23" s="3"/>
    </row>
    <row r="24" spans="2:11" x14ac:dyDescent="0.2">
      <c r="I24" s="15"/>
      <c r="J24" s="15"/>
      <c r="K24" s="3"/>
    </row>
    <row r="25" spans="2:11" x14ac:dyDescent="0.2">
      <c r="I25" s="15"/>
      <c r="J25" s="15"/>
      <c r="K25" s="3"/>
    </row>
    <row r="26" spans="2:11" x14ac:dyDescent="0.2">
      <c r="I26" s="15"/>
      <c r="J26" s="15"/>
      <c r="K26" s="3"/>
    </row>
    <row r="27" spans="2:11" x14ac:dyDescent="0.2">
      <c r="B27" s="16"/>
      <c r="I27" s="15"/>
      <c r="J27" s="15"/>
      <c r="K27" s="3"/>
    </row>
    <row r="28" spans="2:11" x14ac:dyDescent="0.2">
      <c r="B28" s="59"/>
      <c r="I28" s="15"/>
      <c r="J28" s="15"/>
      <c r="K28" s="3"/>
    </row>
    <row r="29" spans="2:11" x14ac:dyDescent="0.2">
      <c r="I29" s="15"/>
      <c r="J29" s="15"/>
      <c r="K29" s="3"/>
    </row>
    <row r="33" spans="2:12" x14ac:dyDescent="0.2">
      <c r="K33" s="16"/>
      <c r="L33" s="3"/>
    </row>
    <row r="34" spans="2:12" x14ac:dyDescent="0.2">
      <c r="B34" s="59"/>
      <c r="K34" s="3"/>
      <c r="L34" s="3"/>
    </row>
    <row r="35" spans="2:12" x14ac:dyDescent="0.2">
      <c r="K35" s="3"/>
      <c r="L35" s="3"/>
    </row>
    <row r="36" spans="2:12" x14ac:dyDescent="0.2">
      <c r="K36" s="3"/>
      <c r="L36" s="3"/>
    </row>
    <row r="37" spans="2:12" x14ac:dyDescent="0.2">
      <c r="K37" s="3"/>
      <c r="L37" s="3"/>
    </row>
    <row r="38" spans="2:12" x14ac:dyDescent="0.2">
      <c r="K38" s="3"/>
      <c r="L38" s="3"/>
    </row>
    <row r="40" spans="2:12" x14ac:dyDescent="0.2">
      <c r="B40" s="59"/>
    </row>
    <row r="69" spans="2:13" x14ac:dyDescent="0.2">
      <c r="B69" s="59"/>
      <c r="M69" s="81"/>
    </row>
    <row r="79" spans="2:13" x14ac:dyDescent="0.2">
      <c r="B79" s="59"/>
    </row>
    <row r="82" spans="2:11" x14ac:dyDescent="0.2">
      <c r="B82" s="16"/>
    </row>
    <row r="88" spans="2:11" x14ac:dyDescent="0.2">
      <c r="B88" s="16"/>
    </row>
    <row r="89" spans="2:11" x14ac:dyDescent="0.2">
      <c r="C89" s="56"/>
      <c r="K89" s="16"/>
    </row>
    <row r="90" spans="2:11" x14ac:dyDescent="0.2">
      <c r="C90" s="56"/>
    </row>
    <row r="91" spans="2:11" x14ac:dyDescent="0.2">
      <c r="D91" s="57"/>
      <c r="F91" s="58"/>
      <c r="K91" s="55"/>
    </row>
    <row r="92" spans="2:11" x14ac:dyDescent="0.2">
      <c r="D92" s="57"/>
      <c r="F92" s="58"/>
    </row>
    <row r="94" spans="2:11" x14ac:dyDescent="0.2">
      <c r="K94" s="55"/>
    </row>
  </sheetData>
  <sheetProtection algorithmName="SHA-512" hashValue="ClWxabZL03pJ+KUwYNrc1BSsok42nKEMEEVj1l2Kx8srVkqnLmWqx+s9fBOnNWKNKYqPKDocFT589NvhQ0jDcA==" saltValue="n024jRQVfKVIahF0mLYtQA==" spinCount="100000" sheet="1" objects="1" scenarios="1" selectLockedCells="1"/>
  <mergeCells count="2">
    <mergeCell ref="A5:I5"/>
    <mergeCell ref="A6:I6"/>
  </mergeCells>
  <phoneticPr fontId="2" type="noConversion"/>
  <printOptions horizontalCentered="1"/>
  <pageMargins left="0.59055118110236227" right="0.59055118110236227" top="0.59055118110236227" bottom="0.59055118110236227" header="0.51181102362204722" footer="0.51181102362204722"/>
  <pageSetup paperSize="9" scale="95" orientation="portrait" r:id="rId1"/>
  <headerFooter alignWithMargins="0">
    <oddFooter>&amp;R_x000D_&amp;1#&amp;"Arial"&amp;7&amp;K000000 Klassifizierung: Vertraulich/Confidential</oddFooter>
  </headerFooter>
  <rowBreaks count="1" manualBreakCount="1">
    <brk id="58" max="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5">
    <tabColor indexed="22"/>
  </sheetPr>
  <dimension ref="A3:L135"/>
  <sheetViews>
    <sheetView showRowColHeaders="0" zoomScale="85" zoomScaleNormal="85" zoomScalePageLayoutView="50" workbookViewId="0">
      <selection activeCell="B21" sqref="B21:C21"/>
    </sheetView>
  </sheetViews>
  <sheetFormatPr baseColWidth="10" defaultColWidth="10.7109375" defaultRowHeight="12.75" x14ac:dyDescent="0.2"/>
  <cols>
    <col min="1" max="16384" width="10.7109375" style="54"/>
  </cols>
  <sheetData>
    <row r="3" spans="1:10" ht="6" customHeight="1" x14ac:dyDescent="0.2"/>
    <row r="4" spans="1:10" ht="6" customHeight="1" x14ac:dyDescent="0.2"/>
    <row r="5" spans="1:10" ht="18" x14ac:dyDescent="0.25">
      <c r="A5" s="492" t="s">
        <v>1204</v>
      </c>
      <c r="B5" s="492"/>
      <c r="C5" s="492"/>
      <c r="D5" s="492"/>
      <c r="E5" s="492"/>
      <c r="F5" s="492"/>
      <c r="G5" s="492"/>
      <c r="H5" s="492"/>
      <c r="I5" s="492"/>
      <c r="J5" s="111"/>
    </row>
    <row r="6" spans="1:10" ht="15.75" x14ac:dyDescent="0.25">
      <c r="A6" s="493"/>
      <c r="B6" s="494"/>
      <c r="C6" s="494"/>
      <c r="D6" s="494"/>
      <c r="E6" s="494"/>
      <c r="F6" s="494"/>
      <c r="G6" s="494"/>
      <c r="H6" s="494"/>
      <c r="I6" s="494"/>
    </row>
    <row r="14" spans="1:10" x14ac:dyDescent="0.2">
      <c r="B14" s="16"/>
      <c r="E14" s="3"/>
      <c r="F14" s="15"/>
      <c r="G14" s="3"/>
      <c r="H14" s="3"/>
    </row>
    <row r="15" spans="1:10" x14ac:dyDescent="0.2">
      <c r="E15" s="3"/>
      <c r="F15" s="15"/>
      <c r="G15" s="3"/>
      <c r="H15" s="3"/>
    </row>
    <row r="16" spans="1:10" x14ac:dyDescent="0.2">
      <c r="E16" s="3"/>
      <c r="F16" s="15"/>
      <c r="G16" s="3"/>
      <c r="H16" s="3"/>
    </row>
    <row r="17" spans="1:11" x14ac:dyDescent="0.2">
      <c r="E17" s="3"/>
      <c r="F17" s="15"/>
      <c r="G17" s="3"/>
      <c r="H17" s="3"/>
    </row>
    <row r="18" spans="1:11" x14ac:dyDescent="0.2">
      <c r="E18" s="3"/>
      <c r="F18" s="15"/>
      <c r="G18" s="3"/>
      <c r="H18" s="3"/>
    </row>
    <row r="20" spans="1:11" ht="15" x14ac:dyDescent="0.25">
      <c r="A20" s="125" t="s">
        <v>1708</v>
      </c>
      <c r="B20" s="125" t="s">
        <v>1707</v>
      </c>
      <c r="C20" s="125"/>
      <c r="D20" s="128"/>
      <c r="E20" s="126"/>
      <c r="F20" s="126"/>
      <c r="G20" s="126"/>
      <c r="H20" s="126"/>
    </row>
    <row r="21" spans="1:11" ht="15" x14ac:dyDescent="0.25">
      <c r="A21" s="126"/>
      <c r="B21" s="498" t="s">
        <v>2654</v>
      </c>
      <c r="C21" s="498"/>
      <c r="D21" s="125"/>
      <c r="E21" s="126"/>
      <c r="F21" s="127"/>
      <c r="G21" s="126"/>
      <c r="H21" s="126"/>
      <c r="I21" s="15"/>
      <c r="J21" s="15"/>
      <c r="K21" s="3"/>
    </row>
    <row r="22" spans="1:11" ht="15" x14ac:dyDescent="0.25">
      <c r="A22" s="125"/>
      <c r="B22" s="495" t="s">
        <v>2749</v>
      </c>
      <c r="C22" s="495"/>
      <c r="D22" s="495"/>
      <c r="E22" s="495"/>
      <c r="F22" s="129"/>
      <c r="G22" s="125"/>
      <c r="H22" s="125"/>
      <c r="I22" s="130"/>
      <c r="J22" s="15"/>
      <c r="K22" s="3"/>
    </row>
    <row r="23" spans="1:11" ht="15" x14ac:dyDescent="0.25">
      <c r="A23" s="125"/>
      <c r="B23" s="496"/>
      <c r="C23" s="497"/>
      <c r="D23" s="497"/>
      <c r="E23" s="497"/>
      <c r="F23" s="497"/>
      <c r="G23" s="497"/>
      <c r="H23" s="497"/>
      <c r="I23" s="130"/>
      <c r="J23" s="15"/>
      <c r="K23" s="3"/>
    </row>
    <row r="24" spans="1:11" x14ac:dyDescent="0.2">
      <c r="I24" s="15"/>
      <c r="J24" s="15"/>
      <c r="K24" s="3"/>
    </row>
    <row r="25" spans="1:11" x14ac:dyDescent="0.2">
      <c r="I25" s="15"/>
      <c r="J25" s="15"/>
      <c r="K25" s="3"/>
    </row>
    <row r="26" spans="1:11" x14ac:dyDescent="0.2">
      <c r="I26" s="15"/>
      <c r="J26" s="15"/>
      <c r="K26" s="3"/>
    </row>
    <row r="27" spans="1:11" x14ac:dyDescent="0.2">
      <c r="B27" s="16"/>
      <c r="I27" s="15"/>
      <c r="J27" s="15"/>
      <c r="K27" s="3"/>
    </row>
    <row r="28" spans="1:11" x14ac:dyDescent="0.2">
      <c r="B28" s="59"/>
      <c r="I28" s="15"/>
      <c r="J28" s="15"/>
      <c r="K28" s="3"/>
    </row>
    <row r="29" spans="1:11" x14ac:dyDescent="0.2">
      <c r="I29" s="15"/>
      <c r="J29" s="15"/>
      <c r="K29" s="3"/>
    </row>
    <row r="33" spans="2:12" x14ac:dyDescent="0.2">
      <c r="K33" s="16"/>
      <c r="L33" s="3"/>
    </row>
    <row r="34" spans="2:12" x14ac:dyDescent="0.2">
      <c r="B34" s="59"/>
      <c r="K34" s="3"/>
      <c r="L34" s="3"/>
    </row>
    <row r="35" spans="2:12" x14ac:dyDescent="0.2">
      <c r="K35" s="3"/>
      <c r="L35" s="3"/>
    </row>
    <row r="36" spans="2:12" x14ac:dyDescent="0.2">
      <c r="K36" s="3"/>
      <c r="L36" s="3"/>
    </row>
    <row r="37" spans="2:12" x14ac:dyDescent="0.2">
      <c r="K37" s="3"/>
      <c r="L37" s="3"/>
    </row>
    <row r="38" spans="2:12" x14ac:dyDescent="0.2">
      <c r="K38" s="3"/>
      <c r="L38" s="3"/>
    </row>
    <row r="40" spans="2:12" x14ac:dyDescent="0.2">
      <c r="B40" s="59"/>
    </row>
    <row r="87" spans="2:2" x14ac:dyDescent="0.2">
      <c r="B87" s="59"/>
    </row>
    <row r="97" spans="2:11" x14ac:dyDescent="0.2">
      <c r="B97" s="59"/>
    </row>
    <row r="100" spans="2:11" x14ac:dyDescent="0.2">
      <c r="B100" s="16"/>
    </row>
    <row r="106" spans="2:11" x14ac:dyDescent="0.2">
      <c r="B106" s="16"/>
    </row>
    <row r="107" spans="2:11" x14ac:dyDescent="0.2">
      <c r="C107" s="56"/>
      <c r="K107" s="16"/>
    </row>
    <row r="108" spans="2:11" x14ac:dyDescent="0.2">
      <c r="C108" s="56"/>
    </row>
    <row r="109" spans="2:11" x14ac:dyDescent="0.2">
      <c r="D109" s="57"/>
      <c r="F109" s="58"/>
      <c r="K109" s="55"/>
    </row>
    <row r="110" spans="2:11" x14ac:dyDescent="0.2">
      <c r="D110" s="57"/>
      <c r="F110" s="58"/>
    </row>
    <row r="112" spans="2:11" x14ac:dyDescent="0.2">
      <c r="K112" s="55"/>
    </row>
    <row r="135" spans="1:1" x14ac:dyDescent="0.2">
      <c r="A135" s="81"/>
    </row>
  </sheetData>
  <sheetProtection algorithmName="SHA-512" hashValue="Dbk/lGDLGzHaInLvthByyLev4uFD8Cy7YtDGNHGmGh0uqx/5vSAhemXKcOC322UO356jRb2GWTiSOXxcV1VspA==" saltValue="sCW8WgwTVG16SYN78NQNQQ==" spinCount="100000" sheet="1" objects="1" scenarios="1" selectLockedCells="1"/>
  <mergeCells count="5">
    <mergeCell ref="A5:I5"/>
    <mergeCell ref="A6:I6"/>
    <mergeCell ref="B22:E22"/>
    <mergeCell ref="B23:H23"/>
    <mergeCell ref="B21:C21"/>
  </mergeCells>
  <phoneticPr fontId="2" type="noConversion"/>
  <hyperlinks>
    <hyperlink ref="B21" r:id="rId1" xr:uid="{00000000-0004-0000-0100-000000000000}"/>
    <hyperlink ref="B22" r:id="rId2" display="http://www.klimaaktiv.at/tools/erneuerbare/pv_rechner.html" xr:uid="{00000000-0004-0000-0100-000001000000}"/>
    <hyperlink ref="B22:E22" r:id="rId3" display="https://www.klimaaktiv.at/photovoltaik-rechner" xr:uid="{2ED44392-3C27-4E78-94CF-56B7984B21C8}"/>
  </hyperlinks>
  <printOptions horizontalCentered="1"/>
  <pageMargins left="0.59055118110236227" right="0.59055118110236227" top="0.59055118110236227" bottom="0.59055118110236227" header="0.51181102362204722" footer="0.51181102362204722"/>
  <pageSetup paperSize="9" scale="95" orientation="portrait" r:id="rId4"/>
  <headerFooter alignWithMargins="0">
    <oddFooter>&amp;R_x000D_&amp;1#&amp;"Arial"&amp;7&amp;K000000 Klassifizierung: Vertraulich/Confidential</oddFooter>
  </headerFooter>
  <rowBreaks count="5" manualBreakCount="5">
    <brk id="46" max="8" man="1"/>
    <brk id="75" max="8" man="1"/>
    <brk id="130" max="8" man="1"/>
    <brk id="190" max="8" man="1"/>
    <brk id="252" max="8" man="1"/>
  </rowBreaks>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1">
    <tabColor rgb="FF015198"/>
  </sheetPr>
  <dimension ref="A1:AU610"/>
  <sheetViews>
    <sheetView tabSelected="1" zoomScaleNormal="100" zoomScaleSheetLayoutView="70" zoomScalePageLayoutView="35" workbookViewId="0">
      <selection activeCell="H12" sqref="H12"/>
    </sheetView>
  </sheetViews>
  <sheetFormatPr baseColWidth="10" defaultColWidth="11.28515625" defaultRowHeight="12.75" x14ac:dyDescent="0.2"/>
  <cols>
    <col min="1" max="1" width="0.7109375" style="1" customWidth="1"/>
    <col min="2" max="2" width="0.28515625" style="1" customWidth="1"/>
    <col min="3" max="3" width="15.7109375" style="1" customWidth="1"/>
    <col min="4" max="4" width="8.85546875" style="1" customWidth="1"/>
    <col min="5" max="5" width="8.28515625" style="1" customWidth="1"/>
    <col min="6" max="6" width="10.28515625" style="1" bestFit="1" customWidth="1"/>
    <col min="7" max="7" width="11" style="1" customWidth="1"/>
    <col min="8" max="8" width="14.28515625" style="7" customWidth="1"/>
    <col min="9" max="9" width="18.85546875" style="1" customWidth="1"/>
    <col min="10" max="10" width="6.7109375" style="1" customWidth="1"/>
    <col min="11" max="11" width="1.140625" style="1" customWidth="1"/>
    <col min="12" max="12" width="0.28515625" style="1" customWidth="1"/>
    <col min="13" max="13" width="25.7109375" style="7" customWidth="1"/>
    <col min="14" max="14" width="17" style="1" bestFit="1" customWidth="1"/>
    <col min="15" max="19" width="11.28515625" style="1"/>
    <col min="20" max="20" width="0.7109375" style="1" customWidth="1"/>
    <col min="21" max="21" width="15.7109375" style="1" bestFit="1" customWidth="1"/>
    <col min="22" max="22" width="11.28515625" style="1"/>
    <col min="23" max="23" width="17.85546875" style="1" bestFit="1" customWidth="1"/>
    <col min="24" max="24" width="12.7109375" style="1" bestFit="1" customWidth="1"/>
    <col min="25" max="25" width="11.28515625" style="1"/>
    <col min="26" max="26" width="12.7109375" style="1" bestFit="1" customWidth="1"/>
    <col min="27" max="28" width="11.28515625" style="1"/>
    <col min="29" max="29" width="9.85546875" style="1" customWidth="1"/>
    <col min="30" max="16384" width="11.28515625" style="1"/>
  </cols>
  <sheetData>
    <row r="1" spans="1:34" x14ac:dyDescent="0.2">
      <c r="C1" s="512"/>
      <c r="D1" s="513"/>
      <c r="E1" s="513"/>
      <c r="F1" s="513"/>
      <c r="T1" s="120"/>
      <c r="U1" s="120"/>
      <c r="V1" s="120"/>
      <c r="W1" s="120"/>
      <c r="X1" s="120"/>
      <c r="Y1" s="120"/>
      <c r="Z1" s="120"/>
      <c r="AA1" s="120"/>
      <c r="AB1" s="120"/>
      <c r="AC1" s="120"/>
      <c r="AD1" s="120"/>
      <c r="AE1" s="120"/>
      <c r="AF1" s="120"/>
      <c r="AG1" s="120"/>
    </row>
    <row r="2" spans="1:34" x14ac:dyDescent="0.2">
      <c r="C2" s="513"/>
      <c r="D2" s="513"/>
      <c r="E2" s="513"/>
      <c r="F2" s="513"/>
      <c r="T2" s="119"/>
      <c r="U2" s="119"/>
      <c r="V2" s="119"/>
      <c r="W2" s="119"/>
      <c r="X2" s="119"/>
      <c r="Y2" s="119"/>
      <c r="Z2" s="119"/>
      <c r="AA2" s="119"/>
      <c r="AB2" s="119"/>
      <c r="AC2" s="119"/>
      <c r="AD2" s="119"/>
      <c r="AE2" s="119"/>
      <c r="AF2" s="119"/>
      <c r="AG2" s="119"/>
      <c r="AH2" s="100"/>
    </row>
    <row r="3" spans="1:34" x14ac:dyDescent="0.2">
      <c r="C3" s="513"/>
      <c r="D3" s="513"/>
      <c r="E3" s="513"/>
      <c r="F3" s="513"/>
      <c r="T3" s="119"/>
      <c r="U3" s="119"/>
      <c r="V3" s="119"/>
      <c r="W3" s="119"/>
      <c r="X3" s="119"/>
      <c r="Y3" s="119"/>
      <c r="Z3" s="119"/>
      <c r="AA3" s="119"/>
      <c r="AB3" s="119"/>
      <c r="AC3" s="119"/>
      <c r="AD3" s="119"/>
      <c r="AE3" s="119"/>
      <c r="AF3" s="119"/>
      <c r="AG3" s="119"/>
      <c r="AH3" s="100"/>
    </row>
    <row r="4" spans="1:34" x14ac:dyDescent="0.2">
      <c r="A4" s="3"/>
      <c r="B4" s="3"/>
      <c r="C4" s="513"/>
      <c r="D4" s="513"/>
      <c r="E4" s="513"/>
      <c r="F4" s="513"/>
      <c r="G4" s="3"/>
      <c r="H4" s="15"/>
      <c r="I4" s="3"/>
      <c r="J4" s="3"/>
      <c r="K4" s="3"/>
      <c r="L4" s="3"/>
      <c r="M4" s="15"/>
      <c r="N4" s="3"/>
      <c r="O4" s="3"/>
      <c r="P4" s="3"/>
      <c r="Q4" s="3"/>
      <c r="R4" s="3"/>
      <c r="S4" s="3"/>
      <c r="T4" s="119"/>
      <c r="U4" s="119"/>
      <c r="V4" s="119"/>
      <c r="W4" s="119"/>
      <c r="X4" s="119"/>
      <c r="Y4" s="119"/>
      <c r="Z4" s="119"/>
      <c r="AA4" s="119"/>
      <c r="AB4" s="119"/>
      <c r="AC4" s="119"/>
      <c r="AD4" s="119"/>
      <c r="AE4" s="119"/>
      <c r="AF4" s="119"/>
      <c r="AG4" s="119"/>
      <c r="AH4" s="100"/>
    </row>
    <row r="5" spans="1:34" ht="8.1" customHeight="1" x14ac:dyDescent="0.2">
      <c r="C5" s="513"/>
      <c r="D5" s="513"/>
      <c r="E5" s="513"/>
      <c r="F5" s="513"/>
      <c r="T5" s="119"/>
      <c r="U5" s="119"/>
      <c r="V5" s="119"/>
      <c r="W5" s="119"/>
      <c r="X5" s="119"/>
      <c r="Y5" s="119"/>
      <c r="Z5" s="119"/>
      <c r="AA5" s="119"/>
      <c r="AB5" s="119"/>
      <c r="AC5" s="119"/>
      <c r="AD5" s="119"/>
      <c r="AE5" s="119"/>
      <c r="AF5" s="119"/>
      <c r="AG5" s="119"/>
      <c r="AH5" s="100"/>
    </row>
    <row r="6" spans="1:34" s="54" customFormat="1" ht="41.25" customHeight="1" x14ac:dyDescent="0.55000000000000004">
      <c r="A6" s="288"/>
      <c r="B6" s="517" t="s">
        <v>1204</v>
      </c>
      <c r="C6" s="518"/>
      <c r="D6" s="518"/>
      <c r="E6" s="518"/>
      <c r="F6" s="518"/>
      <c r="G6" s="518"/>
      <c r="H6" s="518"/>
      <c r="I6" s="518"/>
      <c r="J6" s="518"/>
      <c r="K6" s="518"/>
      <c r="L6" s="518"/>
      <c r="M6" s="518"/>
      <c r="N6" s="518"/>
      <c r="O6" s="518"/>
      <c r="P6" s="518"/>
      <c r="Q6" s="518"/>
      <c r="R6" s="518"/>
      <c r="S6" s="518"/>
      <c r="T6" s="118"/>
      <c r="U6" s="118"/>
      <c r="V6" s="118"/>
      <c r="W6" s="118"/>
      <c r="X6" s="118"/>
      <c r="Y6" s="118"/>
      <c r="Z6" s="118"/>
      <c r="AA6" s="118"/>
      <c r="AB6" s="118"/>
      <c r="AC6" s="118"/>
      <c r="AD6" s="118"/>
      <c r="AE6" s="118"/>
      <c r="AF6" s="118"/>
      <c r="AG6" s="118"/>
      <c r="AH6" s="102"/>
    </row>
    <row r="7" spans="1:34" ht="28.5" x14ac:dyDescent="0.45">
      <c r="A7" s="519" t="s">
        <v>2708</v>
      </c>
      <c r="B7" s="519"/>
      <c r="C7" s="520"/>
      <c r="D7" s="520"/>
      <c r="E7" s="520"/>
      <c r="F7" s="520"/>
      <c r="G7" s="520"/>
      <c r="H7" s="520"/>
      <c r="I7" s="520"/>
      <c r="J7" s="520"/>
      <c r="K7" s="520"/>
      <c r="L7" s="520"/>
      <c r="M7" s="520"/>
      <c r="N7" s="520"/>
      <c r="O7" s="520"/>
      <c r="P7" s="520"/>
      <c r="Q7" s="520"/>
      <c r="R7" s="520"/>
      <c r="S7" s="520"/>
      <c r="T7" s="119"/>
      <c r="U7" s="119"/>
      <c r="V7" s="119"/>
      <c r="W7" s="119"/>
      <c r="X7" s="119"/>
      <c r="Y7" s="119"/>
      <c r="Z7" s="119"/>
      <c r="AA7" s="119"/>
      <c r="AB7" s="119"/>
      <c r="AC7" s="119"/>
      <c r="AD7" s="119"/>
      <c r="AE7" s="119"/>
      <c r="AF7" s="119"/>
      <c r="AG7" s="119"/>
      <c r="AH7" s="100"/>
    </row>
    <row r="8" spans="1:34" ht="25.5" customHeight="1" x14ac:dyDescent="0.2">
      <c r="C8" s="1" t="s">
        <v>2167</v>
      </c>
      <c r="T8" s="119"/>
      <c r="U8" s="119"/>
      <c r="V8" s="119"/>
      <c r="W8" s="119"/>
      <c r="X8" s="119"/>
      <c r="Y8" s="119"/>
      <c r="Z8" s="119"/>
      <c r="AA8" s="119"/>
      <c r="AB8" s="119"/>
      <c r="AC8" s="119"/>
      <c r="AD8" s="119"/>
      <c r="AE8" s="119"/>
      <c r="AF8" s="119"/>
      <c r="AG8" s="119"/>
      <c r="AH8" s="100"/>
    </row>
    <row r="9" spans="1:34" ht="18" x14ac:dyDescent="0.25">
      <c r="B9" s="325" t="s">
        <v>2419</v>
      </c>
      <c r="C9" s="325"/>
      <c r="D9" s="326"/>
      <c r="E9" s="326"/>
      <c r="F9" s="326"/>
      <c r="G9" s="326"/>
      <c r="H9" s="327"/>
      <c r="I9" s="327"/>
      <c r="J9" s="327"/>
      <c r="L9" s="325"/>
      <c r="M9" s="325" t="s">
        <v>2782</v>
      </c>
      <c r="N9" s="326"/>
      <c r="O9" s="326"/>
      <c r="P9" s="326"/>
      <c r="Q9" s="326"/>
      <c r="R9" s="327"/>
      <c r="S9" s="327"/>
      <c r="T9" s="119"/>
      <c r="U9" s="119"/>
      <c r="V9" s="119"/>
      <c r="W9" s="119"/>
      <c r="X9" s="119"/>
      <c r="Y9" s="119"/>
      <c r="Z9" s="119"/>
      <c r="AA9" s="119"/>
      <c r="AB9" s="119"/>
      <c r="AC9" s="119"/>
      <c r="AD9" s="119"/>
      <c r="AE9" s="119"/>
      <c r="AF9" s="119"/>
      <c r="AG9" s="119"/>
      <c r="AH9" s="100"/>
    </row>
    <row r="10" spans="1:34" ht="6" customHeight="1" x14ac:dyDescent="0.3">
      <c r="B10" s="156"/>
      <c r="C10" s="156"/>
      <c r="D10" s="156"/>
      <c r="E10" s="156"/>
      <c r="F10" s="156"/>
      <c r="G10" s="156"/>
      <c r="H10" s="157"/>
      <c r="I10" s="157"/>
      <c r="J10" s="224"/>
      <c r="L10" s="8"/>
      <c r="M10" s="8"/>
      <c r="N10" s="8"/>
      <c r="O10" s="8"/>
      <c r="P10" s="8"/>
      <c r="Q10" s="8"/>
      <c r="R10" s="8"/>
      <c r="S10" s="8"/>
      <c r="T10" s="119"/>
      <c r="U10" s="119"/>
      <c r="V10" s="119"/>
      <c r="W10" s="119"/>
      <c r="X10" s="119"/>
      <c r="Y10" s="119"/>
      <c r="Z10" s="119"/>
      <c r="AA10" s="119"/>
      <c r="AB10" s="119"/>
      <c r="AC10" s="119"/>
      <c r="AD10" s="119"/>
      <c r="AE10" s="119"/>
      <c r="AF10" s="119"/>
      <c r="AG10" s="119"/>
      <c r="AH10" s="100"/>
    </row>
    <row r="11" spans="1:34" x14ac:dyDescent="0.2">
      <c r="B11" s="136"/>
      <c r="C11" s="136"/>
      <c r="D11" s="136"/>
      <c r="E11" s="136"/>
      <c r="F11" s="136"/>
      <c r="G11" s="136" t="s">
        <v>94</v>
      </c>
      <c r="H11" s="516" t="str">
        <f>'PLZ-Zuordnung'!J5</f>
        <v>Wien</v>
      </c>
      <c r="I11" s="516"/>
      <c r="J11" s="139"/>
      <c r="L11" s="8"/>
      <c r="M11" s="8"/>
      <c r="N11" s="8"/>
      <c r="O11" s="8"/>
      <c r="P11" s="8"/>
      <c r="Q11" s="8"/>
      <c r="R11" s="8"/>
      <c r="S11" s="8"/>
      <c r="T11" s="119"/>
      <c r="U11" s="119"/>
      <c r="V11" s="119"/>
      <c r="W11" s="119"/>
      <c r="X11" s="119"/>
      <c r="Y11" s="119"/>
      <c r="Z11" s="119"/>
      <c r="AA11" s="119"/>
      <c r="AB11" s="119"/>
      <c r="AC11" s="119"/>
      <c r="AD11" s="119"/>
      <c r="AE11" s="119"/>
      <c r="AF11" s="119"/>
      <c r="AG11" s="119"/>
      <c r="AH11" s="100"/>
    </row>
    <row r="12" spans="1:34" x14ac:dyDescent="0.2">
      <c r="B12" s="136"/>
      <c r="C12" s="136"/>
      <c r="D12" s="136"/>
      <c r="E12" s="136"/>
      <c r="F12" s="136"/>
      <c r="G12" s="136" t="s">
        <v>96</v>
      </c>
      <c r="H12" s="207">
        <v>1020</v>
      </c>
      <c r="I12" s="208"/>
      <c r="J12" s="139"/>
      <c r="L12" s="8"/>
      <c r="M12" s="8"/>
      <c r="N12" s="8"/>
      <c r="O12" s="8"/>
      <c r="P12" s="8"/>
      <c r="Q12" s="8"/>
      <c r="R12" s="8"/>
      <c r="S12" s="8"/>
      <c r="T12" s="119"/>
      <c r="U12" s="119"/>
      <c r="V12" s="119"/>
      <c r="W12" s="119"/>
      <c r="X12" s="119"/>
      <c r="Y12" s="119"/>
      <c r="Z12" s="119"/>
      <c r="AA12" s="119"/>
      <c r="AB12" s="119"/>
      <c r="AC12" s="119"/>
      <c r="AD12" s="119"/>
      <c r="AE12" s="119"/>
      <c r="AF12" s="119"/>
      <c r="AG12" s="119"/>
      <c r="AH12" s="100"/>
    </row>
    <row r="13" spans="1:34" ht="6" customHeight="1" x14ac:dyDescent="0.2">
      <c r="B13" s="149"/>
      <c r="C13" s="149"/>
      <c r="D13" s="149"/>
      <c r="E13" s="149"/>
      <c r="F13" s="149"/>
      <c r="G13" s="149"/>
      <c r="H13" s="208"/>
      <c r="I13" s="208"/>
      <c r="J13" s="139"/>
      <c r="L13" s="8"/>
      <c r="M13" s="8"/>
      <c r="N13" s="8"/>
      <c r="O13" s="8"/>
      <c r="P13" s="8"/>
      <c r="Q13" s="8"/>
      <c r="R13" s="8"/>
      <c r="S13" s="8"/>
      <c r="T13" s="119"/>
      <c r="U13" s="119"/>
      <c r="V13" s="119"/>
      <c r="W13" s="119"/>
      <c r="X13" s="119"/>
      <c r="Y13" s="119"/>
      <c r="Z13" s="119"/>
      <c r="AA13" s="119"/>
      <c r="AB13" s="119"/>
      <c r="AC13" s="119"/>
      <c r="AD13" s="119"/>
      <c r="AE13" s="119"/>
      <c r="AF13" s="119"/>
      <c r="AG13" s="119"/>
      <c r="AH13" s="100"/>
    </row>
    <row r="14" spans="1:34" ht="6" customHeight="1" x14ac:dyDescent="0.2">
      <c r="B14" s="209"/>
      <c r="C14" s="209"/>
      <c r="D14" s="209"/>
      <c r="E14" s="209"/>
      <c r="F14" s="209"/>
      <c r="G14" s="209"/>
      <c r="H14" s="210"/>
      <c r="I14" s="210"/>
      <c r="J14" s="210"/>
      <c r="L14" s="8"/>
      <c r="M14" s="8"/>
      <c r="N14" s="8"/>
      <c r="O14" s="8"/>
      <c r="P14" s="8"/>
      <c r="Q14" s="8"/>
      <c r="R14" s="8"/>
      <c r="S14" s="8"/>
      <c r="T14" s="119"/>
      <c r="U14" s="119"/>
      <c r="V14" s="119"/>
      <c r="W14" s="119"/>
      <c r="X14" s="119"/>
      <c r="Y14" s="119"/>
      <c r="Z14" s="119"/>
      <c r="AA14" s="119"/>
      <c r="AB14" s="119"/>
      <c r="AC14" s="119"/>
      <c r="AD14" s="119"/>
      <c r="AE14" s="119"/>
      <c r="AF14" s="119"/>
      <c r="AG14" s="119"/>
      <c r="AH14" s="100"/>
    </row>
    <row r="15" spans="1:34" s="9" customFormat="1" x14ac:dyDescent="0.2">
      <c r="B15" s="160"/>
      <c r="C15" s="160"/>
      <c r="D15" s="160"/>
      <c r="E15" s="160"/>
      <c r="F15" s="160"/>
      <c r="G15" s="168" t="s">
        <v>2043</v>
      </c>
      <c r="H15" s="211">
        <f>Wetterdaten!L5</f>
        <v>1084</v>
      </c>
      <c r="I15" s="167" t="s">
        <v>97</v>
      </c>
      <c r="J15" s="223"/>
      <c r="L15" s="8"/>
      <c r="M15" s="8"/>
      <c r="N15" s="8"/>
      <c r="O15" s="8"/>
      <c r="P15" s="8"/>
      <c r="Q15" s="8"/>
      <c r="R15" s="8"/>
      <c r="S15" s="8"/>
      <c r="T15" s="119"/>
      <c r="U15" s="119"/>
      <c r="V15" s="119"/>
      <c r="W15" s="119"/>
      <c r="X15" s="119"/>
      <c r="Y15" s="119"/>
      <c r="Z15" s="119"/>
      <c r="AA15" s="119"/>
      <c r="AB15" s="119"/>
      <c r="AC15" s="119"/>
      <c r="AD15" s="119"/>
      <c r="AE15" s="119"/>
      <c r="AF15" s="119"/>
      <c r="AG15" s="119"/>
      <c r="AH15" s="100"/>
    </row>
    <row r="16" spans="1:34" s="9" customFormat="1" x14ac:dyDescent="0.2">
      <c r="B16" s="160"/>
      <c r="C16" s="160"/>
      <c r="D16" s="160"/>
      <c r="E16" s="160"/>
      <c r="F16" s="160"/>
      <c r="G16" s="168" t="s">
        <v>2044</v>
      </c>
      <c r="H16" s="211">
        <f>Ausrichtung!H51</f>
        <v>1211.5294117647059</v>
      </c>
      <c r="I16" s="167" t="s">
        <v>97</v>
      </c>
      <c r="J16" s="223"/>
      <c r="L16" s="8"/>
      <c r="M16" s="8"/>
      <c r="N16" s="8"/>
      <c r="O16" s="8"/>
      <c r="P16" s="8"/>
      <c r="Q16" s="8"/>
      <c r="R16" s="8"/>
      <c r="S16" s="8"/>
      <c r="T16" s="119"/>
      <c r="U16" s="119"/>
      <c r="V16" s="119"/>
      <c r="W16" s="119"/>
      <c r="X16" s="119"/>
      <c r="Y16" s="119"/>
      <c r="Z16" s="119"/>
      <c r="AA16" s="119"/>
      <c r="AB16" s="119"/>
      <c r="AC16" s="119"/>
      <c r="AD16" s="119"/>
      <c r="AE16" s="119"/>
      <c r="AF16" s="119"/>
      <c r="AG16" s="119"/>
      <c r="AH16" s="100"/>
    </row>
    <row r="17" spans="2:34" ht="5.25" customHeight="1" x14ac:dyDescent="0.2">
      <c r="B17" s="188"/>
      <c r="C17" s="188"/>
      <c r="D17" s="188"/>
      <c r="E17" s="188"/>
      <c r="F17" s="188"/>
      <c r="G17" s="188"/>
      <c r="H17" s="188"/>
      <c r="I17" s="188"/>
      <c r="J17" s="188"/>
      <c r="L17" s="8"/>
      <c r="M17" s="8"/>
      <c r="N17" s="8"/>
      <c r="O17" s="8"/>
      <c r="P17" s="8"/>
      <c r="Q17" s="8"/>
      <c r="R17" s="8"/>
      <c r="S17" s="8"/>
      <c r="T17" s="119"/>
      <c r="U17" s="119"/>
      <c r="V17" s="119"/>
      <c r="W17" s="119"/>
      <c r="X17" s="119"/>
      <c r="Y17" s="119"/>
      <c r="Z17" s="119"/>
      <c r="AA17" s="119"/>
      <c r="AB17" s="119"/>
      <c r="AC17" s="119"/>
      <c r="AD17" s="119"/>
      <c r="AE17" s="119"/>
      <c r="AF17" s="119"/>
      <c r="AG17" s="119"/>
      <c r="AH17" s="100"/>
    </row>
    <row r="18" spans="2:34" ht="5.25" customHeight="1" x14ac:dyDescent="0.3">
      <c r="B18" s="156"/>
      <c r="C18" s="156"/>
      <c r="D18" s="156"/>
      <c r="E18" s="156"/>
      <c r="F18" s="156"/>
      <c r="G18" s="156"/>
      <c r="H18" s="157"/>
      <c r="I18" s="157"/>
      <c r="J18" s="224"/>
      <c r="L18" s="8"/>
      <c r="M18" s="8"/>
      <c r="N18" s="8"/>
      <c r="O18" s="8"/>
      <c r="P18" s="8"/>
      <c r="Q18" s="8"/>
      <c r="R18" s="8"/>
      <c r="S18" s="8"/>
      <c r="T18" s="119"/>
      <c r="U18" s="119"/>
      <c r="V18" s="119"/>
      <c r="W18" s="119"/>
      <c r="X18" s="119"/>
      <c r="Y18" s="119"/>
      <c r="Z18" s="119"/>
      <c r="AA18" s="119"/>
      <c r="AB18" s="119"/>
      <c r="AC18" s="119"/>
      <c r="AD18" s="119"/>
      <c r="AE18" s="119"/>
      <c r="AF18" s="119"/>
      <c r="AG18" s="119"/>
      <c r="AH18" s="100"/>
    </row>
    <row r="19" spans="2:34" ht="12.75" customHeight="1" x14ac:dyDescent="0.2">
      <c r="B19" s="167"/>
      <c r="C19" s="167" t="s">
        <v>2414</v>
      </c>
      <c r="D19" s="137"/>
      <c r="E19" s="137"/>
      <c r="F19" s="137"/>
      <c r="G19" s="162"/>
      <c r="H19" s="515" t="s">
        <v>2416</v>
      </c>
      <c r="I19" s="515"/>
      <c r="J19" s="515"/>
      <c r="L19" s="8"/>
      <c r="M19" s="8"/>
      <c r="N19" s="8"/>
      <c r="O19" s="8"/>
      <c r="P19" s="8"/>
      <c r="Q19" s="8"/>
      <c r="R19" s="8"/>
      <c r="S19" s="8"/>
      <c r="T19" s="119"/>
      <c r="U19" s="119"/>
      <c r="V19" s="119"/>
      <c r="W19" s="119"/>
      <c r="X19" s="119"/>
      <c r="Y19" s="119"/>
      <c r="Z19" s="119"/>
      <c r="AA19" s="119"/>
      <c r="AB19" s="119"/>
      <c r="AC19" s="119"/>
      <c r="AD19" s="119"/>
      <c r="AE19" s="119"/>
      <c r="AF19" s="119"/>
      <c r="AG19" s="119"/>
      <c r="AH19" s="100"/>
    </row>
    <row r="20" spans="2:34" ht="12.75" customHeight="1" x14ac:dyDescent="0.2">
      <c r="B20" s="141"/>
      <c r="C20" s="141"/>
      <c r="D20" s="141"/>
      <c r="E20" s="141"/>
      <c r="F20" s="141"/>
      <c r="G20" s="141"/>
      <c r="H20" s="515"/>
      <c r="I20" s="515"/>
      <c r="J20" s="515"/>
      <c r="L20" s="8"/>
      <c r="M20" s="8"/>
      <c r="N20" s="8"/>
      <c r="O20" s="8"/>
      <c r="P20" s="8"/>
      <c r="Q20" s="8"/>
      <c r="R20" s="8"/>
      <c r="S20" s="8"/>
      <c r="T20" s="119"/>
      <c r="U20" s="119"/>
      <c r="V20" s="119"/>
      <c r="W20" s="119"/>
      <c r="X20" s="119"/>
      <c r="Y20" s="119"/>
      <c r="Z20" s="119"/>
      <c r="AA20" s="119"/>
      <c r="AB20" s="119"/>
      <c r="AC20" s="119"/>
      <c r="AD20" s="119"/>
      <c r="AE20" s="119"/>
      <c r="AF20" s="119"/>
      <c r="AG20" s="119"/>
      <c r="AH20" s="100"/>
    </row>
    <row r="21" spans="2:34" x14ac:dyDescent="0.2">
      <c r="B21" s="141"/>
      <c r="C21" s="141"/>
      <c r="D21" s="141"/>
      <c r="E21" s="141"/>
      <c r="F21" s="141"/>
      <c r="G21" s="141"/>
      <c r="H21" s="515"/>
      <c r="I21" s="515"/>
      <c r="J21" s="515"/>
      <c r="L21" s="8"/>
      <c r="M21" s="8"/>
      <c r="N21" s="8"/>
      <c r="O21" s="522" t="str">
        <f>"Gesamte Investitionsförderung: "&amp;ROUND((1-($H$94/$H$90))*100,0)&amp;" %"</f>
        <v>Gesamte Investitionsförderung: 20 %</v>
      </c>
      <c r="P21" s="522"/>
      <c r="Q21" s="522"/>
      <c r="R21" s="522"/>
      <c r="S21" s="522"/>
      <c r="T21" s="119"/>
      <c r="U21" s="119"/>
      <c r="V21" s="119"/>
      <c r="W21" s="119"/>
      <c r="X21" s="119"/>
      <c r="Y21" s="119"/>
      <c r="Z21" s="119"/>
      <c r="AA21" s="119"/>
      <c r="AB21" s="119"/>
      <c r="AC21" s="119"/>
      <c r="AD21" s="119"/>
      <c r="AE21" s="119"/>
      <c r="AF21" s="119"/>
      <c r="AG21" s="119"/>
      <c r="AH21" s="100"/>
    </row>
    <row r="22" spans="2:34" x14ac:dyDescent="0.2">
      <c r="B22" s="141"/>
      <c r="C22" s="141"/>
      <c r="D22" s="141"/>
      <c r="E22" s="141"/>
      <c r="F22" s="141"/>
      <c r="G22" s="141"/>
      <c r="H22" s="515"/>
      <c r="I22" s="515"/>
      <c r="J22" s="515"/>
      <c r="L22" s="8"/>
      <c r="M22" s="8"/>
      <c r="N22" s="8"/>
      <c r="O22" s="8"/>
      <c r="P22" s="8"/>
      <c r="Q22" s="8"/>
      <c r="R22" s="8"/>
      <c r="S22" s="8"/>
      <c r="T22" s="119"/>
      <c r="U22" s="119"/>
      <c r="V22" s="119"/>
      <c r="W22" s="119"/>
      <c r="X22" s="119"/>
      <c r="Y22" s="119"/>
      <c r="Z22" s="119"/>
      <c r="AA22" s="119"/>
      <c r="AB22" s="119"/>
      <c r="AC22" s="119"/>
      <c r="AD22" s="119"/>
      <c r="AE22" s="119"/>
      <c r="AF22" s="119"/>
      <c r="AG22" s="119"/>
      <c r="AH22" s="100"/>
    </row>
    <row r="23" spans="2:34" x14ac:dyDescent="0.2">
      <c r="B23" s="141"/>
      <c r="C23" s="141"/>
      <c r="D23" s="141"/>
      <c r="E23" s="141"/>
      <c r="F23" s="141"/>
      <c r="G23" s="141"/>
      <c r="H23" s="212">
        <v>-45</v>
      </c>
      <c r="I23" s="141" t="s">
        <v>2417</v>
      </c>
      <c r="J23" s="141"/>
      <c r="L23" s="8"/>
      <c r="M23" s="8"/>
      <c r="N23" s="8"/>
      <c r="O23" s="8"/>
      <c r="P23" s="8"/>
      <c r="Q23" s="8"/>
      <c r="R23" s="8"/>
      <c r="S23" s="8"/>
      <c r="T23" s="119"/>
      <c r="U23" s="119"/>
      <c r="V23" s="119"/>
      <c r="W23" s="119"/>
      <c r="X23" s="119"/>
      <c r="Y23" s="119"/>
      <c r="Z23" s="119"/>
      <c r="AA23" s="119"/>
      <c r="AB23" s="119"/>
      <c r="AC23" s="119"/>
      <c r="AD23" s="119"/>
      <c r="AE23" s="119"/>
      <c r="AF23" s="119"/>
      <c r="AG23" s="119"/>
      <c r="AH23" s="100"/>
    </row>
    <row r="24" spans="2:34" ht="7.5" customHeight="1" x14ac:dyDescent="0.2">
      <c r="B24" s="141"/>
      <c r="C24" s="141"/>
      <c r="D24" s="141"/>
      <c r="E24" s="141"/>
      <c r="F24" s="141"/>
      <c r="G24" s="141"/>
      <c r="H24" s="141"/>
      <c r="I24" s="141"/>
      <c r="J24" s="141"/>
      <c r="M24" s="145"/>
      <c r="N24" s="145"/>
      <c r="O24" s="145"/>
      <c r="P24" s="145"/>
      <c r="Q24" s="145"/>
      <c r="R24" s="145"/>
      <c r="S24" s="145"/>
      <c r="T24" s="119"/>
      <c r="U24" s="119"/>
      <c r="V24" s="119"/>
      <c r="W24" s="119"/>
      <c r="X24" s="119"/>
      <c r="Y24" s="119"/>
      <c r="Z24" s="119"/>
      <c r="AA24" s="119"/>
      <c r="AB24" s="119"/>
      <c r="AC24" s="119"/>
      <c r="AD24" s="119"/>
      <c r="AE24" s="119"/>
      <c r="AF24" s="119"/>
      <c r="AG24" s="119"/>
      <c r="AH24" s="100"/>
    </row>
    <row r="25" spans="2:34" ht="18" customHeight="1" x14ac:dyDescent="0.25">
      <c r="B25" s="167"/>
      <c r="C25" s="167" t="s">
        <v>2415</v>
      </c>
      <c r="D25" s="137"/>
      <c r="E25" s="137"/>
      <c r="F25" s="137"/>
      <c r="G25" s="141"/>
      <c r="H25" s="515" t="s">
        <v>2418</v>
      </c>
      <c r="I25" s="515"/>
      <c r="J25" s="515"/>
      <c r="L25" s="325"/>
      <c r="M25" s="325" t="s">
        <v>2783</v>
      </c>
      <c r="N25" s="326"/>
      <c r="O25" s="326"/>
      <c r="P25" s="326"/>
      <c r="Q25" s="326"/>
      <c r="R25" s="327"/>
      <c r="S25" s="327"/>
      <c r="T25" s="119"/>
      <c r="U25" s="119"/>
      <c r="V25" s="119"/>
      <c r="W25" s="119"/>
      <c r="X25" s="119"/>
      <c r="Y25" s="119"/>
      <c r="Z25" s="119"/>
      <c r="AA25" s="119"/>
      <c r="AB25" s="119"/>
      <c r="AC25" s="119"/>
      <c r="AD25" s="119"/>
      <c r="AE25" s="119"/>
      <c r="AF25" s="119"/>
      <c r="AG25" s="119"/>
      <c r="AH25" s="100"/>
    </row>
    <row r="26" spans="2:34" x14ac:dyDescent="0.2">
      <c r="B26" s="165"/>
      <c r="C26" s="165"/>
      <c r="D26" s="165"/>
      <c r="E26" s="165"/>
      <c r="F26" s="165"/>
      <c r="G26" s="141"/>
      <c r="H26" s="515"/>
      <c r="I26" s="515"/>
      <c r="J26" s="515"/>
      <c r="L26" s="8"/>
      <c r="M26" s="8"/>
      <c r="N26" s="8"/>
      <c r="O26" s="8"/>
      <c r="P26" s="8"/>
      <c r="Q26" s="8"/>
      <c r="R26" s="8"/>
      <c r="S26" s="8"/>
      <c r="T26" s="119"/>
      <c r="U26" s="119"/>
      <c r="V26" s="119"/>
      <c r="W26" s="119"/>
      <c r="X26" s="119"/>
      <c r="Y26" s="119"/>
      <c r="Z26" s="119"/>
      <c r="AA26" s="119"/>
      <c r="AB26" s="119"/>
      <c r="AC26" s="119"/>
      <c r="AD26" s="119"/>
      <c r="AE26" s="119"/>
      <c r="AF26" s="119"/>
      <c r="AG26" s="119"/>
      <c r="AH26" s="100"/>
    </row>
    <row r="27" spans="2:34" x14ac:dyDescent="0.2">
      <c r="B27" s="165"/>
      <c r="C27" s="165"/>
      <c r="D27" s="165"/>
      <c r="E27" s="165"/>
      <c r="F27" s="165"/>
      <c r="G27" s="141"/>
      <c r="H27" s="515"/>
      <c r="I27" s="515"/>
      <c r="J27" s="515"/>
      <c r="L27" s="8"/>
      <c r="M27" s="8"/>
      <c r="N27" s="8"/>
      <c r="O27" s="8"/>
      <c r="P27" s="8"/>
      <c r="Q27" s="8"/>
      <c r="R27" s="8"/>
      <c r="S27" s="8"/>
      <c r="T27" s="119"/>
      <c r="U27" s="119"/>
      <c r="V27" s="119"/>
      <c r="W27" s="119"/>
      <c r="X27" s="119"/>
      <c r="Y27" s="119"/>
      <c r="Z27" s="119"/>
      <c r="AA27" s="119"/>
      <c r="AB27" s="119"/>
      <c r="AC27" s="119"/>
      <c r="AD27" s="119"/>
      <c r="AE27" s="119"/>
      <c r="AF27" s="119"/>
      <c r="AG27" s="119"/>
      <c r="AH27" s="100"/>
    </row>
    <row r="28" spans="2:34" x14ac:dyDescent="0.2">
      <c r="B28" s="165"/>
      <c r="C28" s="165"/>
      <c r="D28" s="165"/>
      <c r="E28" s="165"/>
      <c r="F28" s="165"/>
      <c r="G28" s="141"/>
      <c r="H28" s="515"/>
      <c r="I28" s="515"/>
      <c r="J28" s="515"/>
      <c r="L28" s="8"/>
      <c r="M28" s="8"/>
      <c r="N28" s="8"/>
      <c r="O28" s="8"/>
      <c r="P28" s="8"/>
      <c r="Q28" s="8"/>
      <c r="R28" s="8"/>
      <c r="S28" s="8"/>
      <c r="T28" s="119"/>
      <c r="U28" s="119"/>
      <c r="V28" s="119"/>
      <c r="W28" s="119"/>
      <c r="X28" s="119"/>
      <c r="Y28" s="119"/>
      <c r="Z28" s="119"/>
      <c r="AA28" s="119"/>
      <c r="AB28" s="119"/>
      <c r="AC28" s="119"/>
      <c r="AD28" s="119"/>
      <c r="AE28" s="119"/>
      <c r="AF28" s="119"/>
      <c r="AG28" s="119"/>
      <c r="AH28" s="100"/>
    </row>
    <row r="29" spans="2:34" x14ac:dyDescent="0.2">
      <c r="B29" s="165"/>
      <c r="C29" s="165"/>
      <c r="D29" s="165"/>
      <c r="E29" s="165"/>
      <c r="F29" s="165"/>
      <c r="G29" s="141"/>
      <c r="H29" s="212">
        <v>30</v>
      </c>
      <c r="I29" s="141" t="s">
        <v>2417</v>
      </c>
      <c r="J29" s="139"/>
      <c r="L29" s="8"/>
      <c r="M29" s="521"/>
      <c r="N29" s="521"/>
      <c r="O29" s="8"/>
      <c r="P29" s="8"/>
      <c r="Q29" s="8"/>
      <c r="R29" s="8"/>
      <c r="S29" s="8"/>
      <c r="T29" s="119"/>
      <c r="U29" s="119"/>
      <c r="V29" s="119"/>
      <c r="W29" s="119"/>
      <c r="X29" s="119"/>
      <c r="Y29" s="119"/>
      <c r="Z29" s="119"/>
      <c r="AA29" s="119"/>
      <c r="AB29" s="396"/>
      <c r="AC29" s="396"/>
      <c r="AD29" s="396"/>
      <c r="AE29" s="119"/>
      <c r="AF29" s="119"/>
      <c r="AG29" s="119"/>
      <c r="AH29" s="100"/>
    </row>
    <row r="30" spans="2:34" x14ac:dyDescent="0.2">
      <c r="B30" s="165"/>
      <c r="C30" s="165"/>
      <c r="D30" s="165"/>
      <c r="E30" s="165"/>
      <c r="F30" s="165"/>
      <c r="G30" s="141"/>
      <c r="H30" s="141"/>
      <c r="I30" s="141"/>
      <c r="J30" s="139"/>
      <c r="L30" s="8"/>
      <c r="M30" s="8"/>
      <c r="N30" s="8"/>
      <c r="O30" s="8"/>
      <c r="P30" s="8"/>
      <c r="Q30" s="8"/>
      <c r="R30" s="8"/>
      <c r="S30" s="8"/>
      <c r="T30" s="119"/>
      <c r="U30" s="119"/>
      <c r="V30" s="119"/>
      <c r="W30" s="119"/>
      <c r="X30" s="119"/>
      <c r="Y30" s="119"/>
      <c r="Z30" s="119"/>
      <c r="AA30" s="119"/>
      <c r="AB30" s="396"/>
      <c r="AC30" s="396"/>
      <c r="AD30" s="396"/>
      <c r="AE30" s="119"/>
      <c r="AF30" s="119"/>
      <c r="AG30" s="119"/>
      <c r="AH30" s="100"/>
    </row>
    <row r="31" spans="2:34" x14ac:dyDescent="0.2">
      <c r="B31" s="167"/>
      <c r="C31" s="167" t="s">
        <v>932</v>
      </c>
      <c r="D31" s="165"/>
      <c r="E31" s="165" t="s">
        <v>789</v>
      </c>
      <c r="F31" s="165"/>
      <c r="G31" s="141"/>
      <c r="H31" s="141"/>
      <c r="I31" s="141" t="s">
        <v>2713</v>
      </c>
      <c r="J31" s="139"/>
      <c r="L31" s="8"/>
      <c r="M31" s="8"/>
      <c r="N31" s="8"/>
      <c r="O31" s="8"/>
      <c r="P31" s="8"/>
      <c r="Q31" s="8"/>
      <c r="R31" s="8"/>
      <c r="S31" s="8"/>
      <c r="T31" s="119"/>
      <c r="U31" s="119"/>
      <c r="V31" s="119"/>
      <c r="W31" s="119"/>
      <c r="X31" s="119"/>
      <c r="Y31" s="119"/>
      <c r="Z31" s="119"/>
      <c r="AA31" s="119"/>
      <c r="AB31" s="396"/>
      <c r="AC31" s="396"/>
      <c r="AD31" s="396"/>
      <c r="AE31" s="119"/>
      <c r="AF31" s="119"/>
      <c r="AG31" s="119"/>
      <c r="AH31" s="100"/>
    </row>
    <row r="32" spans="2:34" x14ac:dyDescent="0.2">
      <c r="B32" s="167"/>
      <c r="C32" s="167"/>
      <c r="D32" s="165"/>
      <c r="E32" s="165" t="str">
        <f>IF(C55="Gebäudeintegriert","Die Anlage ist gebäudeintegriert!",IF(C55="Aufdach","Die Anlage ist hinterlüftet!","Es handelt sich um eine Freiflächenanlage!"))</f>
        <v>Die Anlage ist hinterlüftet!</v>
      </c>
      <c r="F32" s="165"/>
      <c r="G32" s="141"/>
      <c r="H32" s="141"/>
      <c r="I32" s="141"/>
      <c r="J32" s="139"/>
      <c r="L32" s="8"/>
      <c r="M32" s="8"/>
      <c r="N32" s="8"/>
      <c r="O32" s="8"/>
      <c r="P32" s="8"/>
      <c r="Q32" s="8"/>
      <c r="R32" s="8"/>
      <c r="S32" s="8"/>
      <c r="T32" s="119"/>
      <c r="U32" s="119"/>
      <c r="V32" s="119"/>
      <c r="W32" s="119"/>
      <c r="X32" s="119"/>
      <c r="Y32" s="119"/>
      <c r="Z32" s="119"/>
      <c r="AA32" s="119"/>
      <c r="AB32" s="396"/>
      <c r="AC32" s="396"/>
      <c r="AD32" s="396"/>
      <c r="AE32" s="119"/>
      <c r="AF32" s="119"/>
      <c r="AG32" s="119"/>
      <c r="AH32" s="100"/>
    </row>
    <row r="33" spans="2:34" ht="5.25" customHeight="1" x14ac:dyDescent="0.2">
      <c r="B33" s="141"/>
      <c r="C33" s="141"/>
      <c r="D33" s="141"/>
      <c r="E33" s="141"/>
      <c r="F33" s="141"/>
      <c r="G33" s="141"/>
      <c r="H33" s="141"/>
      <c r="I33" s="141"/>
      <c r="J33" s="141"/>
      <c r="L33" s="8"/>
      <c r="M33" s="8"/>
      <c r="N33" s="8"/>
      <c r="O33" s="8"/>
      <c r="P33" s="8"/>
      <c r="Q33" s="8"/>
      <c r="R33" s="8"/>
      <c r="S33" s="8"/>
      <c r="T33" s="119"/>
      <c r="U33" s="119"/>
      <c r="V33" s="119"/>
      <c r="W33" s="119"/>
      <c r="X33" s="119"/>
      <c r="Y33" s="119"/>
      <c r="Z33" s="119"/>
      <c r="AA33" s="119"/>
      <c r="AB33" s="396"/>
      <c r="AC33" s="396"/>
      <c r="AD33" s="396"/>
      <c r="AE33" s="119"/>
      <c r="AF33" s="119"/>
      <c r="AG33" s="119"/>
      <c r="AH33" s="100"/>
    </row>
    <row r="34" spans="2:34" ht="7.5" customHeight="1" x14ac:dyDescent="0.2">
      <c r="L34" s="8"/>
      <c r="M34" s="8"/>
      <c r="N34" s="8"/>
      <c r="O34" s="8"/>
      <c r="P34" s="8"/>
      <c r="Q34" s="8"/>
      <c r="R34" s="8"/>
      <c r="S34" s="8"/>
      <c r="T34" s="119"/>
      <c r="U34" s="119"/>
      <c r="V34" s="119"/>
      <c r="W34" s="119"/>
      <c r="X34" s="119"/>
      <c r="Y34" s="119"/>
      <c r="Z34" s="119"/>
      <c r="AA34" s="119"/>
      <c r="AB34" s="396"/>
      <c r="AC34" s="396"/>
      <c r="AD34" s="396"/>
      <c r="AE34" s="119"/>
      <c r="AF34" s="119"/>
      <c r="AG34" s="119"/>
      <c r="AH34" s="100"/>
    </row>
    <row r="35" spans="2:34" ht="18" x14ac:dyDescent="0.25">
      <c r="B35" s="325"/>
      <c r="C35" s="325" t="s">
        <v>781</v>
      </c>
      <c r="D35" s="326"/>
      <c r="E35" s="326"/>
      <c r="F35" s="326"/>
      <c r="G35" s="326"/>
      <c r="H35" s="327"/>
      <c r="I35" s="327"/>
      <c r="J35" s="327"/>
      <c r="L35" s="8"/>
      <c r="M35" s="8"/>
      <c r="N35" s="8"/>
      <c r="O35" s="8"/>
      <c r="P35" s="8"/>
      <c r="Q35" s="8"/>
      <c r="R35" s="8"/>
      <c r="S35" s="8"/>
      <c r="T35" s="119"/>
      <c r="U35" s="119"/>
      <c r="V35" s="119"/>
      <c r="W35" s="119"/>
      <c r="X35" s="119"/>
      <c r="Y35" s="119"/>
      <c r="Z35" s="119"/>
      <c r="AA35" s="119"/>
      <c r="AB35" s="396"/>
      <c r="AC35" s="396"/>
      <c r="AD35" s="396"/>
      <c r="AE35" s="119"/>
      <c r="AF35" s="119"/>
      <c r="AG35" s="119"/>
      <c r="AH35" s="100"/>
    </row>
    <row r="36" spans="2:34" ht="6" customHeight="1" x14ac:dyDescent="0.3">
      <c r="B36" s="156"/>
      <c r="C36" s="156"/>
      <c r="D36" s="156"/>
      <c r="E36" s="156"/>
      <c r="F36" s="156"/>
      <c r="G36" s="156"/>
      <c r="H36" s="157"/>
      <c r="I36" s="157"/>
      <c r="J36" s="224"/>
      <c r="L36" s="8"/>
      <c r="M36" s="8"/>
      <c r="N36" s="8"/>
      <c r="O36" s="8"/>
      <c r="P36" s="8"/>
      <c r="Q36" s="8"/>
      <c r="R36" s="8"/>
      <c r="S36" s="8"/>
      <c r="T36" s="119"/>
      <c r="U36" s="119"/>
      <c r="V36" s="119"/>
      <c r="W36" s="119"/>
      <c r="X36" s="119"/>
      <c r="Y36" s="119"/>
      <c r="Z36" s="119"/>
      <c r="AA36" s="119"/>
      <c r="AB36" s="396"/>
      <c r="AC36" s="396"/>
      <c r="AD36" s="396"/>
      <c r="AE36" s="119"/>
      <c r="AF36" s="119"/>
      <c r="AG36" s="119"/>
      <c r="AH36" s="100"/>
    </row>
    <row r="37" spans="2:34" x14ac:dyDescent="0.2">
      <c r="B37" s="146"/>
      <c r="C37" s="146" t="s">
        <v>2211</v>
      </c>
      <c r="D37" s="136"/>
      <c r="E37" s="136"/>
      <c r="F37" s="136"/>
      <c r="G37" s="136" t="s">
        <v>98</v>
      </c>
      <c r="H37" s="179">
        <v>6</v>
      </c>
      <c r="I37" s="139" t="s">
        <v>89</v>
      </c>
      <c r="J37" s="229"/>
      <c r="L37" s="8"/>
      <c r="M37" s="8"/>
      <c r="N37" s="8"/>
      <c r="O37" s="8"/>
      <c r="P37" s="8"/>
      <c r="Q37" s="8"/>
      <c r="R37" s="8"/>
      <c r="S37" s="8"/>
      <c r="T37" s="119"/>
      <c r="U37" s="119"/>
      <c r="V37" s="119"/>
      <c r="W37" s="119"/>
      <c r="X37" s="119"/>
      <c r="Y37" s="119"/>
      <c r="Z37" s="119"/>
      <c r="AA37" s="119"/>
      <c r="AB37" s="396"/>
      <c r="AC37" s="396"/>
      <c r="AD37" s="396"/>
      <c r="AE37" s="119"/>
      <c r="AF37" s="119"/>
      <c r="AG37" s="119"/>
      <c r="AH37" s="100"/>
    </row>
    <row r="38" spans="2:34" x14ac:dyDescent="0.2">
      <c r="B38" s="146"/>
      <c r="C38" s="146"/>
      <c r="D38" s="136"/>
      <c r="E38" s="136"/>
      <c r="F38" s="136"/>
      <c r="G38" s="136" t="s">
        <v>82</v>
      </c>
      <c r="H38" s="201">
        <f>H37/H45*H44</f>
        <v>35.785714285714285</v>
      </c>
      <c r="I38" s="139" t="s">
        <v>1975</v>
      </c>
      <c r="J38" s="141"/>
      <c r="L38" s="8"/>
      <c r="M38" s="8"/>
      <c r="N38" s="8"/>
      <c r="O38" s="8"/>
      <c r="P38" s="8"/>
      <c r="Q38" s="8"/>
      <c r="R38" s="8"/>
      <c r="S38" s="8"/>
      <c r="T38" s="119"/>
      <c r="U38" s="119"/>
      <c r="V38" s="119"/>
      <c r="W38" s="119"/>
      <c r="X38" s="119"/>
      <c r="Y38" s="119"/>
      <c r="Z38" s="119"/>
      <c r="AA38" s="119"/>
      <c r="AB38" s="396"/>
      <c r="AC38" s="396"/>
      <c r="AD38" s="396"/>
      <c r="AE38" s="119"/>
      <c r="AF38" s="119"/>
      <c r="AG38" s="119"/>
      <c r="AH38" s="100"/>
    </row>
    <row r="39" spans="2:34" x14ac:dyDescent="0.2">
      <c r="B39" s="146"/>
      <c r="C39" s="146"/>
      <c r="D39" s="136"/>
      <c r="E39" s="136"/>
      <c r="F39" s="136"/>
      <c r="G39" s="136" t="s">
        <v>81</v>
      </c>
      <c r="H39" s="201">
        <f>(H46*H49)/100</f>
        <v>16.26347305389222</v>
      </c>
      <c r="I39" s="139" t="s">
        <v>90</v>
      </c>
      <c r="J39" s="141"/>
      <c r="L39" s="8"/>
      <c r="M39" s="8"/>
      <c r="N39" s="8"/>
      <c r="O39" s="8"/>
      <c r="P39" s="8"/>
      <c r="Q39" s="8"/>
      <c r="R39" s="8"/>
      <c r="S39" s="8"/>
      <c r="T39" s="119"/>
      <c r="U39" s="119"/>
      <c r="V39" s="119"/>
      <c r="W39" s="119"/>
      <c r="X39" s="119"/>
      <c r="Y39" s="119"/>
      <c r="Z39" s="119"/>
      <c r="AA39" s="119"/>
      <c r="AB39" s="396"/>
      <c r="AC39" s="396"/>
      <c r="AD39" s="396"/>
      <c r="AE39" s="119"/>
      <c r="AF39" s="119"/>
      <c r="AG39" s="119"/>
      <c r="AH39" s="100"/>
    </row>
    <row r="40" spans="2:34" x14ac:dyDescent="0.2">
      <c r="B40" s="136"/>
      <c r="C40" s="136"/>
      <c r="D40" s="136"/>
      <c r="E40" s="136"/>
      <c r="F40" s="136"/>
      <c r="G40" s="136" t="s">
        <v>933</v>
      </c>
      <c r="H40" s="201">
        <f>IF(C55="Gebäudeintegriert",H39*0.81,IF(C55="Aufdach",H39*0.86,H39*0.87))</f>
        <v>13.98658682634731</v>
      </c>
      <c r="I40" s="139" t="s">
        <v>90</v>
      </c>
      <c r="J40" s="141"/>
      <c r="L40" s="8"/>
      <c r="M40" s="8"/>
      <c r="N40" s="8"/>
      <c r="O40" s="8"/>
      <c r="P40" s="8"/>
      <c r="Q40" s="8"/>
      <c r="R40" s="8"/>
      <c r="S40" s="8"/>
      <c r="T40" s="119"/>
      <c r="U40" s="119"/>
      <c r="V40" s="119"/>
      <c r="W40" s="119"/>
      <c r="X40" s="119"/>
      <c r="Y40" s="119"/>
      <c r="Z40" s="119"/>
      <c r="AA40" s="119"/>
      <c r="AB40" s="119"/>
      <c r="AC40" s="119"/>
      <c r="AD40" s="119"/>
      <c r="AE40" s="119"/>
      <c r="AF40" s="119"/>
      <c r="AG40" s="119"/>
      <c r="AH40" s="100"/>
    </row>
    <row r="41" spans="2:34" x14ac:dyDescent="0.2">
      <c r="B41" s="136"/>
      <c r="C41" s="136"/>
      <c r="D41" s="136"/>
      <c r="E41" s="136"/>
      <c r="F41" s="136"/>
      <c r="G41" s="136" t="s">
        <v>1980</v>
      </c>
      <c r="H41" s="202">
        <f>ROUND(H37/H45,0)</f>
        <v>21</v>
      </c>
      <c r="I41" s="139" t="s">
        <v>1981</v>
      </c>
      <c r="J41" s="141"/>
      <c r="L41" s="8"/>
      <c r="M41" s="8"/>
      <c r="N41" s="8"/>
      <c r="O41" s="8"/>
      <c r="P41" s="8"/>
      <c r="Q41" s="8"/>
      <c r="R41" s="8"/>
      <c r="S41" s="8"/>
      <c r="T41" s="119"/>
      <c r="U41" s="119"/>
      <c r="V41" s="119"/>
      <c r="W41" s="119"/>
      <c r="X41" s="119"/>
      <c r="Y41" s="119"/>
      <c r="Z41" s="119"/>
      <c r="AA41" s="119"/>
      <c r="AB41" s="119"/>
      <c r="AC41" s="119"/>
      <c r="AD41" s="119"/>
      <c r="AE41" s="119"/>
      <c r="AF41" s="119"/>
      <c r="AG41" s="119"/>
      <c r="AH41" s="100"/>
    </row>
    <row r="42" spans="2:34" ht="5.25" customHeight="1" x14ac:dyDescent="0.2">
      <c r="B42" s="141"/>
      <c r="C42" s="141"/>
      <c r="D42" s="141"/>
      <c r="E42" s="141"/>
      <c r="F42" s="141"/>
      <c r="G42" s="141"/>
      <c r="H42" s="141"/>
      <c r="I42" s="141"/>
      <c r="J42" s="141"/>
      <c r="L42" s="8"/>
      <c r="M42" s="8"/>
      <c r="N42" s="8"/>
      <c r="O42" s="8"/>
      <c r="P42" s="8"/>
      <c r="Q42" s="8"/>
      <c r="R42" s="8"/>
      <c r="S42" s="8"/>
      <c r="T42" s="119"/>
      <c r="U42" s="119"/>
      <c r="V42" s="119"/>
      <c r="W42" s="119"/>
      <c r="X42" s="119"/>
      <c r="Y42" s="119"/>
      <c r="Z42" s="119"/>
      <c r="AA42" s="119"/>
      <c r="AB42" s="119"/>
      <c r="AC42" s="119"/>
      <c r="AD42" s="119"/>
      <c r="AE42" s="119"/>
      <c r="AF42" s="119"/>
      <c r="AG42" s="119"/>
      <c r="AH42" s="100"/>
    </row>
    <row r="43" spans="2:34" ht="7.5" customHeight="1" x14ac:dyDescent="0.2">
      <c r="B43" s="210"/>
      <c r="C43" s="210"/>
      <c r="D43" s="210"/>
      <c r="E43" s="210"/>
      <c r="F43" s="210"/>
      <c r="G43" s="210"/>
      <c r="H43" s="210"/>
      <c r="I43" s="210"/>
      <c r="J43" s="210"/>
      <c r="M43" s="225"/>
      <c r="N43" s="225"/>
      <c r="O43" s="225"/>
      <c r="P43" s="225"/>
      <c r="Q43" s="225"/>
      <c r="R43" s="225"/>
      <c r="S43" s="225"/>
      <c r="T43" s="119"/>
      <c r="U43" s="119"/>
      <c r="V43" s="119"/>
      <c r="W43" s="119"/>
      <c r="X43" s="119"/>
      <c r="Y43" s="119"/>
      <c r="Z43" s="119"/>
      <c r="AA43" s="119"/>
      <c r="AB43" s="119"/>
      <c r="AC43" s="119"/>
      <c r="AD43" s="119"/>
      <c r="AE43" s="119"/>
      <c r="AF43" s="119"/>
      <c r="AG43" s="119"/>
      <c r="AH43" s="100"/>
    </row>
    <row r="44" spans="2:34" ht="18" x14ac:dyDescent="0.25">
      <c r="B44" s="146"/>
      <c r="C44" s="146" t="s">
        <v>2212</v>
      </c>
      <c r="D44" s="146"/>
      <c r="E44" s="136"/>
      <c r="F44" s="136"/>
      <c r="G44" s="136" t="s">
        <v>2598</v>
      </c>
      <c r="H44" s="203">
        <v>1.67</v>
      </c>
      <c r="I44" s="139" t="s">
        <v>1976</v>
      </c>
      <c r="J44" s="141"/>
      <c r="L44" s="325"/>
      <c r="M44" s="325" t="s">
        <v>2604</v>
      </c>
      <c r="N44" s="326"/>
      <c r="O44" s="326"/>
      <c r="P44" s="326"/>
      <c r="Q44" s="326"/>
      <c r="R44" s="327"/>
      <c r="S44" s="327"/>
      <c r="T44" s="119"/>
      <c r="U44" s="119"/>
      <c r="V44" s="119"/>
      <c r="W44" s="119"/>
      <c r="X44" s="119"/>
      <c r="Y44" s="119"/>
      <c r="Z44" s="119"/>
      <c r="AA44" s="119"/>
      <c r="AB44" s="119"/>
      <c r="AC44" s="119"/>
      <c r="AD44" s="119"/>
      <c r="AE44" s="119"/>
      <c r="AF44" s="119"/>
      <c r="AG44" s="119"/>
      <c r="AH44" s="100"/>
    </row>
    <row r="45" spans="2:34" x14ac:dyDescent="0.2">
      <c r="B45" s="136"/>
      <c r="C45" s="136"/>
      <c r="D45" s="136"/>
      <c r="E45" s="136"/>
      <c r="F45" s="136"/>
      <c r="G45" s="136" t="s">
        <v>931</v>
      </c>
      <c r="H45" s="177">
        <v>0.28000000000000003</v>
      </c>
      <c r="I45" s="139" t="s">
        <v>1977</v>
      </c>
      <c r="J45" s="141"/>
      <c r="L45" s="215"/>
      <c r="M45" s="215"/>
      <c r="N45" s="10"/>
      <c r="O45" s="10"/>
      <c r="P45" s="10"/>
      <c r="Q45" s="10"/>
      <c r="R45" s="10"/>
      <c r="S45" s="10"/>
      <c r="T45" s="119"/>
      <c r="U45" s="119"/>
      <c r="V45" s="119"/>
      <c r="W45" s="119"/>
      <c r="X45" s="119"/>
      <c r="Y45" s="119"/>
      <c r="Z45" s="119"/>
      <c r="AA45" s="119"/>
      <c r="AB45" s="119"/>
      <c r="AC45" s="119"/>
      <c r="AD45" s="119"/>
      <c r="AE45" s="119"/>
      <c r="AF45" s="119"/>
      <c r="AG45" s="119"/>
      <c r="AH45" s="100"/>
    </row>
    <row r="46" spans="2:34" ht="13.7" customHeight="1" x14ac:dyDescent="0.2">
      <c r="B46" s="136"/>
      <c r="C46" s="136"/>
      <c r="D46" s="136"/>
      <c r="E46" s="136"/>
      <c r="F46" s="136"/>
      <c r="G46" s="136" t="s">
        <v>930</v>
      </c>
      <c r="H46" s="201">
        <f>(H45/H44)*100</f>
        <v>16.766467065868266</v>
      </c>
      <c r="I46" s="139" t="s">
        <v>90</v>
      </c>
      <c r="J46" s="141"/>
      <c r="L46" s="10"/>
      <c r="M46" s="10"/>
      <c r="N46" s="10"/>
      <c r="O46" s="10"/>
      <c r="P46" s="10"/>
      <c r="Q46" s="10"/>
      <c r="R46" s="10"/>
      <c r="S46" s="10"/>
      <c r="T46" s="119"/>
      <c r="U46" s="119"/>
      <c r="V46" s="119"/>
      <c r="W46" s="119"/>
      <c r="X46" s="119"/>
      <c r="Y46" s="119"/>
      <c r="Z46" s="119"/>
      <c r="AA46" s="119"/>
      <c r="AB46" s="119"/>
      <c r="AC46" s="119"/>
      <c r="AD46" s="119"/>
      <c r="AE46" s="119"/>
      <c r="AF46" s="119"/>
      <c r="AG46" s="119"/>
      <c r="AH46" s="100"/>
    </row>
    <row r="47" spans="2:34" ht="5.25" customHeight="1" x14ac:dyDescent="0.2">
      <c r="B47" s="188"/>
      <c r="C47" s="188"/>
      <c r="D47" s="188"/>
      <c r="E47" s="188"/>
      <c r="F47" s="188"/>
      <c r="G47" s="188"/>
      <c r="H47" s="188"/>
      <c r="I47" s="188"/>
      <c r="J47" s="188"/>
      <c r="L47" s="10"/>
      <c r="M47" s="10"/>
      <c r="N47" s="10"/>
      <c r="O47" s="10"/>
      <c r="P47" s="10"/>
      <c r="Q47" s="10"/>
      <c r="R47" s="10"/>
      <c r="S47" s="10"/>
      <c r="T47" s="119"/>
      <c r="U47" s="119"/>
      <c r="V47" s="119"/>
      <c r="W47" s="119"/>
      <c r="X47" s="119"/>
      <c r="Y47" s="119"/>
      <c r="Z47" s="119"/>
      <c r="AA47" s="119"/>
      <c r="AB47" s="119"/>
      <c r="AC47" s="119"/>
      <c r="AD47" s="119"/>
      <c r="AE47" s="119"/>
      <c r="AF47" s="119"/>
      <c r="AG47" s="119"/>
      <c r="AH47" s="100"/>
    </row>
    <row r="48" spans="2:34" ht="5.25" customHeight="1" x14ac:dyDescent="0.2">
      <c r="B48" s="141"/>
      <c r="C48" s="141"/>
      <c r="D48" s="141"/>
      <c r="E48" s="141"/>
      <c r="F48" s="141"/>
      <c r="G48" s="141"/>
      <c r="H48" s="141"/>
      <c r="I48" s="141"/>
      <c r="J48" s="141"/>
      <c r="L48" s="226"/>
      <c r="M48" s="226"/>
      <c r="N48" s="144"/>
      <c r="O48" s="144"/>
      <c r="P48" s="144"/>
      <c r="Q48" s="144"/>
      <c r="R48" s="144"/>
      <c r="S48" s="144"/>
      <c r="T48" s="119"/>
      <c r="U48" s="119"/>
      <c r="V48" s="119"/>
      <c r="W48" s="119"/>
      <c r="X48" s="119"/>
      <c r="Y48" s="119"/>
      <c r="Z48" s="119"/>
      <c r="AA48" s="119"/>
      <c r="AB48" s="119"/>
      <c r="AC48" s="119"/>
      <c r="AD48" s="119"/>
      <c r="AE48" s="119"/>
      <c r="AF48" s="119"/>
      <c r="AG48" s="119"/>
      <c r="AH48" s="100"/>
    </row>
    <row r="49" spans="2:34" ht="12.75" customHeight="1" x14ac:dyDescent="0.2">
      <c r="B49" s="146"/>
      <c r="C49" s="146" t="s">
        <v>2213</v>
      </c>
      <c r="D49" s="136"/>
      <c r="E49" s="136"/>
      <c r="F49" s="136"/>
      <c r="G49" s="136" t="s">
        <v>929</v>
      </c>
      <c r="H49" s="204">
        <v>97</v>
      </c>
      <c r="I49" s="139" t="s">
        <v>90</v>
      </c>
      <c r="J49" s="141"/>
      <c r="L49" s="144"/>
      <c r="M49" s="144"/>
      <c r="N49" s="144"/>
      <c r="O49" s="144"/>
      <c r="P49" s="144"/>
      <c r="Q49" s="144"/>
      <c r="R49" s="144"/>
      <c r="S49" s="144"/>
      <c r="T49" s="119"/>
      <c r="U49" s="119"/>
      <c r="V49" s="119"/>
      <c r="W49" s="119"/>
      <c r="X49" s="119"/>
      <c r="Y49" s="119"/>
      <c r="Z49" s="119"/>
      <c r="AA49" s="119"/>
      <c r="AB49" s="119"/>
      <c r="AC49" s="119"/>
      <c r="AD49" s="119"/>
      <c r="AE49" s="119"/>
      <c r="AF49" s="119"/>
      <c r="AG49" s="119"/>
      <c r="AH49" s="100"/>
    </row>
    <row r="50" spans="2:34" ht="5.25" customHeight="1" x14ac:dyDescent="0.2">
      <c r="B50" s="141"/>
      <c r="C50" s="141"/>
      <c r="D50" s="141"/>
      <c r="E50" s="141"/>
      <c r="F50" s="141"/>
      <c r="G50" s="141"/>
      <c r="H50" s="141"/>
      <c r="I50" s="141"/>
      <c r="J50" s="141"/>
      <c r="L50" s="144"/>
      <c r="M50" s="144"/>
      <c r="N50" s="144"/>
      <c r="O50" s="144"/>
      <c r="P50" s="144"/>
      <c r="Q50" s="144"/>
      <c r="R50" s="144"/>
      <c r="S50" s="144"/>
      <c r="T50" s="119"/>
      <c r="U50" s="119"/>
      <c r="V50" s="119"/>
      <c r="W50" s="119"/>
      <c r="X50" s="119"/>
      <c r="Y50" s="119"/>
      <c r="Z50" s="119"/>
      <c r="AA50" s="119"/>
      <c r="AB50" s="119"/>
      <c r="AC50" s="119"/>
      <c r="AD50" s="119"/>
      <c r="AE50" s="119"/>
      <c r="AF50" s="119"/>
      <c r="AG50" s="119"/>
      <c r="AH50" s="100"/>
    </row>
    <row r="51" spans="2:34" ht="7.5" customHeight="1" x14ac:dyDescent="0.2">
      <c r="K51" s="7"/>
      <c r="L51" s="144"/>
      <c r="M51" s="144"/>
      <c r="N51" s="144"/>
      <c r="O51" s="144"/>
      <c r="P51" s="144"/>
      <c r="Q51" s="144"/>
      <c r="R51" s="144"/>
      <c r="S51" s="144"/>
      <c r="T51" s="119"/>
      <c r="U51" s="119"/>
      <c r="V51" s="119"/>
      <c r="W51" s="119"/>
      <c r="X51" s="122"/>
      <c r="Y51" s="119"/>
      <c r="Z51" s="119"/>
      <c r="AA51" s="119"/>
      <c r="AB51" s="119"/>
      <c r="AC51" s="119"/>
      <c r="AD51" s="119"/>
      <c r="AE51" s="119"/>
      <c r="AF51" s="119"/>
      <c r="AG51" s="119"/>
      <c r="AH51" s="100"/>
    </row>
    <row r="52" spans="2:34" ht="18" x14ac:dyDescent="0.25">
      <c r="B52" s="325"/>
      <c r="C52" s="325" t="str">
        <f>"3. Förderungen für "&amp;IF(H12="","??? - PLZ erforderlich!",'PLZ-Zuordnung'!J4)</f>
        <v>3. Förderungen für Wien</v>
      </c>
      <c r="D52" s="326"/>
      <c r="E52" s="326"/>
      <c r="F52" s="326"/>
      <c r="G52" s="326"/>
      <c r="H52" s="327"/>
      <c r="I52" s="327"/>
      <c r="J52" s="327"/>
      <c r="L52" s="144"/>
      <c r="M52" s="144"/>
      <c r="N52" s="144"/>
      <c r="O52" s="144"/>
      <c r="P52" s="144"/>
      <c r="Q52" s="144"/>
      <c r="R52" s="144"/>
      <c r="S52" s="144"/>
      <c r="T52" s="119"/>
      <c r="U52" s="119"/>
      <c r="V52" s="119"/>
      <c r="W52" s="119"/>
      <c r="X52" s="122"/>
      <c r="Y52" s="119"/>
      <c r="Z52" s="119"/>
      <c r="AA52" s="119"/>
      <c r="AB52" s="119"/>
      <c r="AC52" s="119"/>
      <c r="AD52" s="119"/>
      <c r="AE52" s="119"/>
      <c r="AF52" s="119"/>
      <c r="AG52" s="119"/>
      <c r="AH52" s="100"/>
    </row>
    <row r="53" spans="2:34" ht="6" customHeight="1" x14ac:dyDescent="0.3">
      <c r="B53" s="237"/>
      <c r="C53" s="156"/>
      <c r="D53" s="156"/>
      <c r="E53" s="156"/>
      <c r="F53" s="156"/>
      <c r="G53" s="156"/>
      <c r="H53" s="157"/>
      <c r="I53" s="157"/>
      <c r="J53" s="224"/>
      <c r="L53" s="144"/>
      <c r="M53" s="144"/>
      <c r="N53" s="144"/>
      <c r="O53" s="144"/>
      <c r="P53" s="144"/>
      <c r="Q53" s="144"/>
      <c r="R53" s="144"/>
      <c r="S53" s="144"/>
      <c r="T53" s="119"/>
      <c r="U53" s="119"/>
      <c r="V53" s="119"/>
      <c r="W53" s="119"/>
      <c r="X53" s="122"/>
      <c r="Y53" s="119"/>
      <c r="Z53" s="119"/>
      <c r="AA53" s="119"/>
      <c r="AB53" s="119"/>
      <c r="AC53" s="119"/>
      <c r="AD53" s="119"/>
      <c r="AE53" s="119"/>
      <c r="AF53" s="119"/>
      <c r="AG53" s="119"/>
      <c r="AH53" s="100"/>
    </row>
    <row r="54" spans="2:34" x14ac:dyDescent="0.2">
      <c r="B54" s="233"/>
      <c r="C54" s="289" t="s">
        <v>2588</v>
      </c>
      <c r="D54" s="499" t="s">
        <v>2162</v>
      </c>
      <c r="E54" s="514"/>
      <c r="F54" s="523" t="s">
        <v>827</v>
      </c>
      <c r="G54" s="514"/>
      <c r="H54" s="523" t="s">
        <v>824</v>
      </c>
      <c r="I54" s="514"/>
      <c r="J54" s="141"/>
      <c r="L54" s="144"/>
      <c r="M54" s="144"/>
      <c r="N54" s="144"/>
      <c r="O54" s="144"/>
      <c r="P54" s="144"/>
      <c r="Q54" s="144"/>
      <c r="R54" s="144"/>
      <c r="S54" s="144"/>
      <c r="T54" s="119"/>
      <c r="U54" s="119"/>
      <c r="V54" s="119"/>
      <c r="W54" s="119"/>
      <c r="X54" s="122"/>
      <c r="Y54" s="119"/>
      <c r="Z54" s="119"/>
      <c r="AA54" s="119"/>
      <c r="AB54" s="119"/>
      <c r="AC54" s="119"/>
      <c r="AD54" s="119"/>
      <c r="AE54" s="119"/>
      <c r="AF54" s="119"/>
      <c r="AG54" s="119"/>
      <c r="AH54" s="100"/>
    </row>
    <row r="55" spans="2:34" x14ac:dyDescent="0.2">
      <c r="B55" s="233"/>
      <c r="C55" s="405" t="s">
        <v>899</v>
      </c>
      <c r="D55" s="191" t="s">
        <v>2052</v>
      </c>
      <c r="E55" s="191" t="s">
        <v>2052</v>
      </c>
      <c r="F55" s="499" t="s">
        <v>826</v>
      </c>
      <c r="G55" s="499"/>
      <c r="H55" s="192" t="s">
        <v>826</v>
      </c>
      <c r="I55" s="420" t="str">
        <f>IF(C57=C198,C198,IF(C57=C199,C199,"Zu-/Abschläge"))</f>
        <v>Zu-/Abschläge</v>
      </c>
      <c r="J55" s="141"/>
      <c r="L55" s="144"/>
      <c r="M55" s="144"/>
      <c r="N55" s="144"/>
      <c r="O55" s="144"/>
      <c r="P55" s="144"/>
      <c r="Q55" s="144"/>
      <c r="R55" s="144"/>
      <c r="S55" s="144"/>
      <c r="T55" s="119"/>
      <c r="U55" s="119"/>
      <c r="V55" s="119"/>
      <c r="W55" s="119"/>
      <c r="X55" s="122"/>
      <c r="Y55" s="119"/>
      <c r="Z55" s="119"/>
      <c r="AA55" s="119"/>
      <c r="AB55" s="119"/>
      <c r="AC55" s="119"/>
      <c r="AD55" s="119"/>
      <c r="AE55" s="119"/>
      <c r="AF55" s="119"/>
      <c r="AG55" s="119"/>
      <c r="AH55" s="100"/>
    </row>
    <row r="56" spans="2:34" x14ac:dyDescent="0.2">
      <c r="B56" s="233"/>
      <c r="C56" s="418" t="s">
        <v>2716</v>
      </c>
      <c r="D56" s="193" t="str">
        <f>IF($C$52="3. Förderungen für Burgenland",Förderungen!C8,IF($C$52="3. Förderungen für Kärnten",Förderungen!C20,IF($C$52="3. Förderungen für Niederösterreich",Förderungen!C32,IF($C$52="3. Förderungen für Oberösterreich",Förderungen!C44,IF($C$52="3. Förderungen für Salzburg",Förderungen!C56,IF($C$52="3. Förderungen für Steiermark",Förderungen!C70,IF($C$52="3. Förderungen für Tirol",Förderungen!C82,IF($C$52="3. Förderungen für Vorarlberg",Förderungen!C94,Förderungen!C106))))))))</f>
        <v>0,01-10</v>
      </c>
      <c r="E56" s="194" t="str">
        <f>IF($C$52="3. Förderungen für Burgenland",Förderungen!D8,IF($C$52="3. Förderungen für Kärnten",Förderungen!D20,IF($C$52="3. Förderungen für Niederösterreich",Förderungen!D32,IF($C$52="3. Förderungen für Oberösterreich",Förderungen!D44,IF($C$52="3. Förderungen für Salzburg",Förderungen!D56,IF($C$52="3. Förderungen für Steiermark",Förderungen!D70,IF($C$52="3. Förderungen für Tirol",Förderungen!D82,IF($C$52="3. Förderungen für Vorarlberg",Förderungen!D94,Förderungen!D106))))))))</f>
        <v>kWp</v>
      </c>
      <c r="F56" s="193">
        <f>IF($C$52="3. Förderungen für Burgenland",Förderungen!E8,IF($C$52="3. Förderungen für Kärnten",Förderungen!E20,IF($C$52="3. Förderungen für Niederösterreich",Förderungen!E32,IF($C$52="3. Förderungen für Oberösterreich",Förderungen!E44,IF($C$52="3. Förderungen für Salzburg",Förderungen!E56,IF($C$52="3. Förderungen für Steiermark",Förderungen!E70,IF($C$52="3. Förderungen für Tirol",Förderungen!E82,IF($C$52="3. Förderungen für Vorarlberg",Förderungen!E94,Förderungen!E106))))))))</f>
        <v>250</v>
      </c>
      <c r="G56" s="195" t="str">
        <f>IF($C$52="3. Förderungen für Burgenland",Förderungen!F8,IF($C$52="3. Förderungen für Kärnten",Förderungen!F20,IF($C$52="3. Förderungen für Niederösterreich",Förderungen!F32,IF($C$52="3. Förderungen für Oberösterreich",Förderungen!F44,IF($C$52="3. Förderungen für Salzburg",Förderungen!F56,IF($C$52="3. Förderungen für Steiermark",Förderungen!F70,IF($C$52="3. Förderungen für Tirol",Förderungen!F82,IF($C$52="3. Förderungen für Vorarlberg",Förderungen!F94,Förderungen!F106))))))))</f>
        <v>€/kWp</v>
      </c>
      <c r="H56" s="196">
        <f>IF($C$52="3. Förderungen für Burgenland",Förderungen!G8,IF($C$52="3. Förderungen für Kärnten",Förderungen!G20,IF($C$52="3. Förderungen für Niederösterreich",Förderungen!G32,IF($C$52="3. Förderungen für Oberösterreich",Förderungen!G44,IF($C$52="3. Förderungen für Salzburg",Förderungen!G56,IF($C$52="3. Förderungen für Steiermark",Förderungen!G70,IF($C$52="3. Förderungen für Tirol",Förderungen!G82,IF($C$52="3. Förderungen für Vorarlberg",Förderungen!G94,Förderungen!G106))))))))</f>
        <v>0</v>
      </c>
      <c r="I56" s="421">
        <f>IF($C$57=$C$198,H56*0.3,IF($C$57=$C$199,H56*0.25,0))</f>
        <v>0</v>
      </c>
      <c r="J56" s="141"/>
      <c r="L56" s="227"/>
      <c r="M56" s="227"/>
      <c r="N56" s="97"/>
      <c r="O56" s="97"/>
      <c r="P56" s="97"/>
      <c r="Q56" s="10"/>
      <c r="R56" s="10"/>
      <c r="S56" s="10"/>
      <c r="T56" s="119"/>
      <c r="U56" s="119"/>
      <c r="V56" s="119"/>
      <c r="W56" s="119"/>
      <c r="X56" s="122"/>
      <c r="Y56" s="119"/>
      <c r="Z56" s="119"/>
      <c r="AA56" s="119"/>
      <c r="AB56" s="119"/>
      <c r="AC56" s="119"/>
      <c r="AD56" s="119"/>
      <c r="AE56" s="119"/>
      <c r="AF56" s="119"/>
      <c r="AG56" s="119"/>
      <c r="AH56" s="100"/>
    </row>
    <row r="57" spans="2:34" ht="12.75" customHeight="1" x14ac:dyDescent="0.2">
      <c r="B57" s="233"/>
      <c r="C57" s="422" t="s">
        <v>2718</v>
      </c>
      <c r="D57" s="419" t="str">
        <f>IF($C$52="3. Förderungen für Burgenland",Förderungen!C9,IF($C$52="3. Förderungen für Kärnten",Förderungen!C21,IF($C$52="3. Förderungen für Niederösterreich",Förderungen!C33,IF($C$52="3. Förderungen für Oberösterreich",Förderungen!C45,IF($C$52="3. Förderungen für Salzburg",Förderungen!C57,IF($C$52="3. Förderungen für Steiermark",Förderungen!C71,IF($C$52="3. Förderungen für Tirol",Förderungen!C83,IF($C$52="3. Förderungen für Vorarlberg",Förderungen!C95,Förderungen!C107))))))))</f>
        <v>&gt;10-35</v>
      </c>
      <c r="E57" s="194" t="str">
        <f>IF($C$52="3. Förderungen für Burgenland",Förderungen!D9,IF($C$52="3. Förderungen für Kärnten",Förderungen!D21,IF($C$52="3. Förderungen für Niederösterreich",Förderungen!D33,IF($C$52="3. Förderungen für Oberösterreich",Förderungen!D45,IF($C$52="3. Förderungen für Salzburg",Förderungen!D57,IF($C$52="3. Förderungen für Steiermark",Förderungen!D71,IF($C$52="3. Förderungen für Tirol",Förderungen!D83,IF($C$52="3. Förderungen für Vorarlberg",Förderungen!D95,Förderungen!D107))))))))</f>
        <v>kWp</v>
      </c>
      <c r="F57" s="193">
        <f>IF($C$52="3. Förderungen für Burgenland",Förderungen!E9,IF($C$52="3. Förderungen für Kärnten",Förderungen!E21,IF($C$52="3. Förderungen für Niederösterreich",Förderungen!E33,IF($C$52="3. Förderungen für Oberösterreich",Förderungen!E45,IF($C$52="3. Förderungen für Salzburg",Förderungen!E57,IF($C$52="3. Förderungen für Steiermark",Förderungen!E71,IF($C$52="3. Förderungen für Tirol",Förderungen!E83,IF($C$52="3. Förderungen für Vorarlberg",Förderungen!E95,Förderungen!E107))))))))</f>
        <v>250</v>
      </c>
      <c r="G57" s="195" t="str">
        <f>IF($C$52="3. Förderungen für Burgenland",Förderungen!F9,IF($C$52="3. Förderungen für Kärnten",Förderungen!F21,IF($C$52="3. Förderungen für Niederösterreich",Förderungen!F33,IF($C$52="3. Förderungen für Oberösterreich",Förderungen!F45,IF($C$52="3. Förderungen für Salzburg",Förderungen!F57,IF($C$52="3. Förderungen für Steiermark",Förderungen!F71,IF($C$52="3. Förderungen für Tirol",Förderungen!F83,IF($C$52="3. Förderungen für Vorarlberg",Förderungen!F95,Förderungen!F107))))))))</f>
        <v>€/kWp</v>
      </c>
      <c r="H57" s="196">
        <f>IF($C$52="3. Förderungen für Burgenland",Förderungen!G9,IF($C$52="3. Förderungen für Kärnten",Förderungen!G21,IF($C$52="3. Förderungen für Niederösterreich",Förderungen!G33,IF($C$52="3. Förderungen für Oberösterreich",Förderungen!G45,IF($C$52="3. Förderungen für Salzburg",Förderungen!G57,IF($C$52="3. Förderungen für Steiermark",Förderungen!G71,IF($C$52="3. Förderungen für Tirol",Förderungen!G83,IF($C$52="3. Förderungen für Vorarlberg",Förderungen!G95,Förderungen!G107))))))))</f>
        <v>0</v>
      </c>
      <c r="I57" s="421">
        <f>IF($C$57=$C$198,H57*0.3,IF($C$57=$C$199,H57*0.25,0))</f>
        <v>0</v>
      </c>
      <c r="J57" s="141"/>
      <c r="L57" s="148"/>
      <c r="M57" s="148"/>
      <c r="N57" s="148"/>
      <c r="O57" s="97"/>
      <c r="P57" s="97"/>
      <c r="Q57" s="10"/>
      <c r="R57" s="10"/>
      <c r="S57" s="10"/>
      <c r="T57" s="119"/>
      <c r="U57" s="119"/>
      <c r="V57" s="119"/>
      <c r="W57" s="119"/>
      <c r="X57" s="122"/>
      <c r="Y57" s="119"/>
      <c r="Z57" s="119"/>
      <c r="AA57" s="119"/>
      <c r="AB57" s="119"/>
      <c r="AC57" s="119"/>
      <c r="AD57" s="119"/>
      <c r="AE57" s="119"/>
      <c r="AF57" s="119"/>
      <c r="AG57" s="119"/>
      <c r="AH57" s="100"/>
    </row>
    <row r="58" spans="2:34" x14ac:dyDescent="0.2">
      <c r="B58" s="233"/>
      <c r="C58" s="136"/>
      <c r="D58" s="193" t="str">
        <f>IF($C$52="3. Förderungen für Burgenland",Förderungen!C10,IF($C$52="3. Förderungen für Kärnten",Förderungen!C22,IF($C$52="3. Förderungen für Niederösterreich",Förderungen!C34,IF($C$52="3. Förderungen für Oberösterreich",Förderungen!C46,IF($C$52="3. Förderungen für Salzburg",Förderungen!C58,IF($C$52="3. Förderungen für Steiermark",Förderungen!C72,IF($C$52="3. Förderungen für Tirol",Förderungen!C84,IF($C$52="3. Förderungen für Vorarlberg",Förderungen!C96,Förderungen!C108))))))))</f>
        <v>&gt;35-100</v>
      </c>
      <c r="E58" s="194" t="str">
        <f>IF($C$52="3. Förderungen für Burgenland",Förderungen!D10,IF($C$52="3. Förderungen für Kärnten",Förderungen!D22,IF($C$52="3. Förderungen für Niederösterreich",Förderungen!D34,IF($C$52="3. Förderungen für Oberösterreich",Förderungen!D46,IF($C$52="3. Förderungen für Salzburg",Förderungen!D58,IF($C$52="3. Förderungen für Steiermark",Förderungen!D72,IF($C$52="3. Förderungen für Tirol",Förderungen!D84,IF($C$52="3. Förderungen für Vorarlberg",Förderungen!D96,Förderungen!D108))))))))</f>
        <v>kWp</v>
      </c>
      <c r="F58" s="193">
        <f>IF($C$52="3. Förderungen für Burgenland",Förderungen!E10,IF($C$52="3. Förderungen für Kärnten",Förderungen!E22,IF($C$52="3. Förderungen für Niederösterreich",Förderungen!E34,IF($C$52="3. Förderungen für Oberösterreich",Förderungen!E46,IF($C$52="3. Förderungen für Salzburg",Förderungen!E58,IF($C$52="3. Förderungen für Steiermark",Förderungen!E72,IF($C$52="3. Förderungen für Tirol",Förderungen!E84,IF($C$52="3. Förderungen für Vorarlberg",Förderungen!E96,Förderungen!E108))))))))</f>
        <v>250</v>
      </c>
      <c r="G58" s="195" t="str">
        <f>IF($C$52="3. Förderungen für Burgenland",Förderungen!F10,IF($C$52="3. Förderungen für Kärnten",Förderungen!F22,IF($C$52="3. Förderungen für Niederösterreich",Förderungen!F34,IF($C$52="3. Förderungen für Oberösterreich",Förderungen!F46,IF($C$52="3. Förderungen für Salzburg",Förderungen!F58,IF($C$52="3. Förderungen für Steiermark",Förderungen!F72,IF($C$52="3. Förderungen für Tirol",Förderungen!F84,IF($C$52="3. Förderungen für Vorarlberg",Förderungen!F96,Förderungen!F108))))))))</f>
        <v>€/kWp</v>
      </c>
      <c r="H58" s="196">
        <f>IF($C$52="3. Förderungen für Burgenland",Förderungen!G10,IF($C$52="3. Förderungen für Kärnten",Förderungen!G22,IF($C$52="3. Förderungen für Niederösterreich",Förderungen!G34,IF($C$52="3. Förderungen für Oberösterreich",Förderungen!G46,IF($C$52="3. Förderungen für Salzburg",Förderungen!G58,IF($C$52="3. Förderungen für Steiermark",Förderungen!G72,IF($C$52="3. Förderungen für Tirol",Förderungen!G84,IF($C$52="3. Förderungen für Vorarlberg",Förderungen!G96,Förderungen!G108))))))))</f>
        <v>0</v>
      </c>
      <c r="I58" s="421">
        <f>IF($C$57=$C$198,H58*0.3,IF($C$57=$C$199,H58*0.25,0))</f>
        <v>0</v>
      </c>
      <c r="J58" s="141"/>
      <c r="L58" s="215"/>
      <c r="M58" s="215"/>
      <c r="N58" s="10"/>
      <c r="O58" s="10"/>
      <c r="P58" s="10"/>
      <c r="Q58" s="10"/>
      <c r="R58" s="10"/>
      <c r="S58" s="10"/>
      <c r="T58" s="119"/>
      <c r="U58" s="119"/>
      <c r="V58" s="119"/>
      <c r="W58" s="119"/>
      <c r="X58" s="119"/>
      <c r="Y58" s="119"/>
      <c r="Z58" s="119"/>
      <c r="AA58" s="119"/>
      <c r="AB58" s="119"/>
      <c r="AC58" s="119"/>
      <c r="AD58" s="119"/>
      <c r="AE58" s="119"/>
      <c r="AF58" s="119"/>
      <c r="AG58" s="119"/>
      <c r="AH58" s="100"/>
    </row>
    <row r="59" spans="2:34" x14ac:dyDescent="0.2">
      <c r="B59" s="233"/>
      <c r="C59" s="136"/>
      <c r="D59" s="193" t="str">
        <f>IF($C$52="3. Förderungen für Burgenland",Förderungen!C11,IF($C$52="3. Förderungen für Kärnten",Förderungen!C23,IF($C$52="3. Förderungen für Niederösterreich",Förderungen!C35,IF($C$52="3. Förderungen für Oberösterreich",Förderungen!C47,IF($C$52="3. Förderungen für Salzburg",Förderungen!C59,IF($C$52="3. Förderungen für Steiermark",Förderungen!C73,IF($C$52="3. Förderungen für Tirol",Förderungen!C85,IF($C$52="3. Förderungen für Vorarlberg",Förderungen!C97,Förderungen!C109))))))))</f>
        <v>&gt;100</v>
      </c>
      <c r="E59" s="194" t="str">
        <f>IF($C$52="3. Förderungen für Burgenland",Förderungen!D11,IF($C$52="3. Förderungen für Kärnten",Förderungen!D23,IF($C$52="3. Förderungen für Niederösterreich",Förderungen!D35,IF($C$52="3. Förderungen für Oberösterreich",Förderungen!D47,IF($C$52="3. Förderungen für Salzburg",Förderungen!D59,IF($C$52="3. Förderungen für Steiermark",Förderungen!D73,IF($C$52="3. Förderungen für Tirol",Förderungen!D85,IF($C$52="3. Förderungen für Vorarlberg",Förderungen!D97,Förderungen!D109))))))))</f>
        <v>kWp</v>
      </c>
      <c r="F59" s="193">
        <f>IF($C$52="3. Förderungen für Burgenland",Förderungen!E11,IF($C$52="3. Förderungen für Kärnten",Förderungen!E23,IF($C$52="3. Förderungen für Niederösterreich",Förderungen!E35,IF($C$52="3. Förderungen für Oberösterreich",Förderungen!E47,IF($C$52="3. Förderungen für Salzburg",Förderungen!E59,IF($C$52="3. Förderungen für Steiermark",Förderungen!E73,IF($C$52="3. Förderungen für Tirol",Förderungen!E85,IF($C$52="3. Förderungen für Vorarlberg",Förderungen!E97,Förderungen!E109))))))))</f>
        <v>200</v>
      </c>
      <c r="G59" s="195" t="str">
        <f>IF($C$52="3. Förderungen für Burgenland",Förderungen!F11,IF($C$52="3. Förderungen für Kärnten",Förderungen!F23,IF($C$52="3. Förderungen für Niederösterreich",Förderungen!F35,IF($C$52="3. Förderungen für Oberösterreich",Förderungen!F47,IF($C$52="3. Förderungen für Salzburg",Förderungen!F59,IF($C$52="3. Förderungen für Steiermark",Förderungen!F73,IF($C$52="3. Förderungen für Tirol",Förderungen!F85,IF($C$52="3. Förderungen für Vorarlberg",Förderungen!F97,Förderungen!F109))))))))</f>
        <v>€/kWp</v>
      </c>
      <c r="H59" s="196">
        <f>IF($C$52="3. Förderungen für Burgenland",Förderungen!G11,IF($C$52="3. Förderungen für Kärnten",Förderungen!G23,IF($C$52="3. Förderungen für Niederösterreich",Förderungen!G35,IF($C$52="3. Förderungen für Oberösterreich",Förderungen!G47,IF($C$52="3. Förderungen für Salzburg",Förderungen!G59,IF($C$52="3. Förderungen für Steiermark",Förderungen!G73,IF($C$52="3. Förderungen für Tirol",Förderungen!G85,IF($C$52="3. Förderungen für Vorarlberg",Förderungen!G97,Förderungen!G109))))))))</f>
        <v>0</v>
      </c>
      <c r="I59" s="421">
        <f>IF($C$57=$C$198,H59*0.3,IF($C$57=$C$199,H59*0.25,0))</f>
        <v>0</v>
      </c>
      <c r="J59" s="141"/>
      <c r="L59" s="10"/>
      <c r="M59" s="10"/>
      <c r="N59" s="10"/>
      <c r="O59" s="98"/>
      <c r="P59" s="13"/>
      <c r="Q59" s="10"/>
      <c r="R59" s="10"/>
      <c r="S59" s="228"/>
      <c r="T59" s="119"/>
      <c r="U59" s="119"/>
      <c r="V59" s="119"/>
      <c r="W59" s="119"/>
      <c r="X59" s="119"/>
      <c r="Y59" s="119"/>
      <c r="Z59" s="119"/>
      <c r="AA59" s="119"/>
      <c r="AB59" s="119"/>
      <c r="AC59" s="123"/>
      <c r="AD59" s="119"/>
      <c r="AE59" s="119"/>
      <c r="AF59" s="119"/>
      <c r="AG59" s="119"/>
      <c r="AH59" s="100"/>
    </row>
    <row r="60" spans="2:34" ht="12.75" customHeight="1" x14ac:dyDescent="0.2">
      <c r="B60" s="233"/>
      <c r="C60" s="230" t="str">
        <f>IF($C$52="3. Förderungen für Burgenland",Förderungen!B13,IF($C$52="3. Förderungen für Kärnten",Förderungen!B25,IF($C$52="3. Förderungen für Niederösterreich",Förderungen!B37,IF($C$52="3. Förderungen für Oberösterreich",Förderungen!B49,IF($C$52="3. Förderungen für Salzburg",Förderungen!B61,IF($C$52="3. Förderungen für Steiermark",Förderungen!B75,IF($C$52="3. Förderungen für Tirol",Förderungen!B87,IF($C$52="3. Förderungen für Vorarlberg",Förderungen!B99,Förderungen!B111))))))))</f>
        <v>Information:</v>
      </c>
      <c r="D60" s="423" t="s">
        <v>2722</v>
      </c>
      <c r="E60" s="198"/>
      <c r="F60" s="197"/>
      <c r="G60" s="158"/>
      <c r="H60" s="199"/>
      <c r="I60" s="200"/>
      <c r="J60" s="141"/>
      <c r="L60" s="215"/>
      <c r="M60" s="215"/>
      <c r="N60" s="10"/>
      <c r="O60" s="10"/>
      <c r="P60" s="10"/>
      <c r="Q60" s="10"/>
      <c r="R60" s="10"/>
      <c r="S60" s="10"/>
      <c r="T60" s="119"/>
      <c r="U60" s="119"/>
      <c r="V60" s="119"/>
      <c r="W60" s="119"/>
      <c r="X60" s="124"/>
      <c r="Y60" s="119"/>
      <c r="Z60" s="119"/>
      <c r="AA60" s="119"/>
      <c r="AB60" s="119"/>
      <c r="AC60" s="119"/>
      <c r="AD60" s="119"/>
      <c r="AE60" s="119"/>
      <c r="AF60" s="119"/>
      <c r="AG60" s="119"/>
      <c r="AH60" s="100"/>
    </row>
    <row r="61" spans="2:34" x14ac:dyDescent="0.2">
      <c r="B61" s="233"/>
      <c r="C61" s="158" t="str">
        <f>IF($C$52="3. Förderungen für Burgenland",Förderungen!B14,IF($C$52="3. Förderungen für Kärnten",Förderungen!B26,IF($C$52="3. Förderungen für Niederösterreich",Förderungen!B38,IF($C$52="3. Förderungen für Oberösterreich",Förderungen!B50,IF($C$52="3. Förderungen für Salzburg",Förderungen!B62,IF($C$52="3. Förderungen für Steiermark",Förderungen!B76,IF($C$52="3. Förderungen für Tirol",Förderungen!B88,IF($C$52="3. Förderungen für Vorarlberg",Förderungen!B100,Förderungen!B112))))))))</f>
        <v>Landesförderung max. 30% der Investkosten 250€/kWp bis 100kWp, 200€/kWp von 100 bis 500kWp</v>
      </c>
      <c r="D61" s="158"/>
      <c r="E61" s="136"/>
      <c r="F61" s="136"/>
      <c r="G61" s="141"/>
      <c r="H61" s="141"/>
      <c r="I61" s="141"/>
      <c r="J61" s="141"/>
      <c r="L61" s="215"/>
      <c r="M61" s="215"/>
      <c r="N61" s="10"/>
      <c r="O61" s="10"/>
      <c r="P61" s="10"/>
      <c r="Q61" s="10"/>
      <c r="R61" s="10"/>
      <c r="S61" s="10"/>
      <c r="T61" s="119"/>
      <c r="U61" s="119"/>
      <c r="V61" s="119"/>
      <c r="W61" s="119"/>
      <c r="X61" s="119"/>
      <c r="Y61" s="119"/>
      <c r="Z61" s="119"/>
      <c r="AA61" s="119"/>
      <c r="AB61" s="119"/>
      <c r="AC61" s="119"/>
      <c r="AD61" s="119"/>
      <c r="AE61" s="119"/>
      <c r="AF61" s="119"/>
      <c r="AG61" s="119"/>
      <c r="AH61" s="100"/>
    </row>
    <row r="62" spans="2:34" x14ac:dyDescent="0.2">
      <c r="B62" s="233"/>
      <c r="C62" s="158" t="s">
        <v>2758</v>
      </c>
      <c r="D62" s="141"/>
      <c r="E62" s="136"/>
      <c r="F62" s="136"/>
      <c r="G62" s="141"/>
      <c r="H62" s="141"/>
      <c r="I62" s="141"/>
      <c r="J62" s="141"/>
      <c r="L62" s="215"/>
      <c r="M62" s="215"/>
      <c r="N62" s="10"/>
      <c r="O62" s="10"/>
      <c r="P62" s="10"/>
      <c r="Q62" s="10"/>
      <c r="R62" s="10"/>
      <c r="S62" s="10"/>
      <c r="T62" s="119"/>
      <c r="U62" s="119"/>
      <c r="V62" s="119"/>
      <c r="W62" s="119"/>
      <c r="X62" s="119"/>
      <c r="Y62" s="119"/>
      <c r="Z62" s="119"/>
      <c r="AA62" s="119"/>
      <c r="AB62" s="119"/>
      <c r="AC62" s="119"/>
      <c r="AD62" s="119"/>
      <c r="AE62" s="119"/>
      <c r="AF62" s="119"/>
      <c r="AG62" s="119"/>
      <c r="AH62" s="100"/>
    </row>
    <row r="63" spans="2:34" x14ac:dyDescent="0.2">
      <c r="B63" s="233"/>
      <c r="C63" s="141"/>
      <c r="D63" s="141"/>
      <c r="E63" s="141"/>
      <c r="F63" s="141"/>
      <c r="G63" s="159" t="s">
        <v>860</v>
      </c>
      <c r="H63" s="500" t="s">
        <v>827</v>
      </c>
      <c r="I63" s="501"/>
      <c r="J63" s="141"/>
      <c r="L63" s="10"/>
      <c r="M63" s="10"/>
      <c r="N63" s="10"/>
      <c r="O63" s="10"/>
      <c r="P63" s="10"/>
      <c r="Q63" s="10"/>
      <c r="R63" s="10"/>
      <c r="S63" s="10"/>
      <c r="T63" s="119"/>
      <c r="U63" s="119"/>
      <c r="V63" s="119"/>
      <c r="W63" s="119"/>
      <c r="X63" s="119"/>
      <c r="Y63" s="119"/>
      <c r="Z63" s="119"/>
      <c r="AA63" s="119"/>
      <c r="AB63" s="119"/>
      <c r="AC63" s="119"/>
      <c r="AD63" s="119"/>
      <c r="AE63" s="119"/>
      <c r="AF63" s="119"/>
      <c r="AG63" s="119"/>
      <c r="AH63" s="100"/>
    </row>
    <row r="64" spans="2:34" ht="7.5" customHeight="1" x14ac:dyDescent="0.2">
      <c r="B64" s="233"/>
      <c r="C64" s="141"/>
      <c r="D64" s="141"/>
      <c r="E64" s="141"/>
      <c r="F64" s="141"/>
      <c r="G64" s="160" t="str">
        <f>IF(H63="Fördertarif","*","")</f>
        <v/>
      </c>
      <c r="H64" s="236" t="str">
        <f>IF(H63="Fördertarif","Achtung: siehe Hinweis!","")</f>
        <v/>
      </c>
      <c r="I64" s="141"/>
      <c r="J64" s="141"/>
      <c r="L64" s="7"/>
      <c r="T64" s="119"/>
      <c r="U64" s="119"/>
      <c r="V64" s="119"/>
      <c r="W64" s="119"/>
      <c r="X64" s="124"/>
      <c r="Y64" s="119"/>
      <c r="Z64" s="119"/>
      <c r="AA64" s="119"/>
      <c r="AB64" s="119"/>
      <c r="AC64" s="119"/>
      <c r="AD64" s="119"/>
      <c r="AE64" s="119"/>
      <c r="AF64" s="119"/>
      <c r="AG64" s="119"/>
      <c r="AH64" s="100"/>
    </row>
    <row r="65" spans="2:34" x14ac:dyDescent="0.2">
      <c r="B65" s="233"/>
      <c r="C65" s="141"/>
      <c r="D65" s="141"/>
      <c r="E65" s="141"/>
      <c r="F65" s="141"/>
      <c r="G65" s="159" t="s">
        <v>2769</v>
      </c>
      <c r="H65" s="500" t="s">
        <v>2760</v>
      </c>
      <c r="I65" s="501"/>
      <c r="J65" s="141"/>
      <c r="L65" s="7"/>
      <c r="T65" s="119"/>
      <c r="U65" s="119"/>
      <c r="V65" s="119"/>
      <c r="W65" s="119"/>
      <c r="X65" s="119"/>
      <c r="Y65" s="119"/>
      <c r="Z65" s="119"/>
      <c r="AA65" s="119"/>
      <c r="AB65" s="119"/>
      <c r="AC65" s="119"/>
      <c r="AD65" s="119"/>
      <c r="AE65" s="119"/>
      <c r="AF65" s="119"/>
      <c r="AG65" s="119"/>
      <c r="AH65" s="100"/>
    </row>
    <row r="66" spans="2:34" ht="18" customHeight="1" x14ac:dyDescent="0.25">
      <c r="B66" s="233"/>
      <c r="C66" s="231"/>
      <c r="D66" s="161"/>
      <c r="E66" s="286"/>
      <c r="F66" s="286"/>
      <c r="G66" s="137"/>
      <c r="H66" s="459" t="s">
        <v>2768</v>
      </c>
      <c r="I66" s="459" t="s">
        <v>2763</v>
      </c>
      <c r="J66" s="141"/>
      <c r="L66" s="325"/>
      <c r="M66" s="325" t="s">
        <v>2615</v>
      </c>
      <c r="N66" s="326"/>
      <c r="O66" s="326"/>
      <c r="P66" s="326"/>
      <c r="Q66" s="326"/>
      <c r="R66" s="327"/>
      <c r="S66" s="327"/>
      <c r="T66" s="119"/>
      <c r="U66" s="119"/>
      <c r="V66" s="119"/>
      <c r="W66" s="119"/>
      <c r="X66" s="124"/>
      <c r="Y66" s="119"/>
      <c r="Z66" s="119"/>
      <c r="AA66" s="119"/>
      <c r="AB66" s="119"/>
      <c r="AC66" s="119"/>
      <c r="AD66" s="119"/>
      <c r="AE66" s="119"/>
      <c r="AF66" s="119"/>
      <c r="AG66" s="119"/>
      <c r="AH66" s="100"/>
    </row>
    <row r="67" spans="2:34" ht="12.75" customHeight="1" x14ac:dyDescent="0.2">
      <c r="B67" s="233"/>
      <c r="C67" s="456"/>
      <c r="D67" s="457"/>
      <c r="E67" s="286"/>
      <c r="F67" s="286"/>
      <c r="G67" s="137" t="s">
        <v>2762</v>
      </c>
      <c r="H67" s="185">
        <f>0.3*GesamtkostenAnlage</f>
        <v>2700</v>
      </c>
      <c r="I67" s="185">
        <f>0.15*GesamtkostenAnlage</f>
        <v>1350</v>
      </c>
      <c r="J67" s="139" t="s">
        <v>1621</v>
      </c>
      <c r="L67" s="110"/>
      <c r="M67" s="110"/>
      <c r="N67" s="109"/>
      <c r="O67" s="109"/>
      <c r="P67" s="109"/>
      <c r="Q67" s="109"/>
      <c r="R67" s="109"/>
      <c r="S67" s="109"/>
      <c r="T67" s="119"/>
      <c r="U67" s="119"/>
      <c r="V67" s="119"/>
      <c r="W67" s="119"/>
      <c r="X67" s="119"/>
      <c r="Y67" s="119"/>
      <c r="Z67" s="119"/>
      <c r="AA67" s="119"/>
      <c r="AB67" s="119"/>
      <c r="AC67" s="119"/>
      <c r="AD67" s="119"/>
      <c r="AE67" s="119"/>
      <c r="AF67" s="119"/>
      <c r="AG67" s="119"/>
      <c r="AH67" s="100"/>
    </row>
    <row r="68" spans="2:34" x14ac:dyDescent="0.2">
      <c r="B68" s="233"/>
      <c r="C68" s="232"/>
      <c r="D68" s="141"/>
      <c r="E68" s="286"/>
      <c r="F68" s="286"/>
      <c r="G68" s="286"/>
      <c r="H68" s="286"/>
      <c r="I68" s="287"/>
      <c r="J68" s="141"/>
      <c r="L68" s="109"/>
      <c r="M68" s="109"/>
      <c r="N68" s="109"/>
      <c r="O68" s="109"/>
      <c r="P68" s="109"/>
      <c r="Q68" s="109"/>
      <c r="R68" s="109"/>
      <c r="S68" s="109"/>
      <c r="T68" s="119"/>
      <c r="U68" s="119"/>
      <c r="V68" s="119"/>
      <c r="W68" s="119"/>
      <c r="X68" s="119"/>
      <c r="Y68" s="119"/>
      <c r="Z68" s="119"/>
      <c r="AA68" s="119"/>
      <c r="AB68" s="119"/>
      <c r="AC68" s="119"/>
      <c r="AD68" s="119"/>
      <c r="AE68" s="119"/>
      <c r="AF68" s="119"/>
      <c r="AG68" s="119"/>
      <c r="AH68" s="100"/>
    </row>
    <row r="69" spans="2:34" ht="5.25" customHeight="1" x14ac:dyDescent="0.2">
      <c r="B69" s="222"/>
      <c r="C69" s="188"/>
      <c r="D69" s="188"/>
      <c r="E69" s="188"/>
      <c r="F69" s="188"/>
      <c r="G69" s="188"/>
      <c r="H69" s="188"/>
      <c r="I69" s="188"/>
      <c r="J69" s="188"/>
      <c r="L69" s="109"/>
      <c r="M69" s="109"/>
      <c r="N69" s="109"/>
      <c r="O69" s="109"/>
      <c r="P69" s="109"/>
      <c r="Q69" s="109"/>
      <c r="R69" s="109"/>
      <c r="S69" s="109"/>
      <c r="T69" s="119"/>
      <c r="U69" s="119"/>
      <c r="V69" s="119"/>
      <c r="W69" s="119"/>
      <c r="X69" s="119"/>
      <c r="Y69" s="119"/>
      <c r="Z69" s="119"/>
      <c r="AA69" s="119"/>
      <c r="AB69" s="119"/>
      <c r="AC69" s="119"/>
      <c r="AD69" s="119"/>
      <c r="AE69" s="119"/>
      <c r="AF69" s="119"/>
      <c r="AG69" s="119"/>
      <c r="AH69" s="100"/>
    </row>
    <row r="70" spans="2:34" ht="5.25" customHeight="1" x14ac:dyDescent="0.2">
      <c r="B70" s="141"/>
      <c r="C70" s="141"/>
      <c r="D70" s="141"/>
      <c r="E70" s="141"/>
      <c r="F70" s="141"/>
      <c r="G70" s="141"/>
      <c r="H70" s="141"/>
      <c r="I70" s="141"/>
      <c r="J70" s="141"/>
      <c r="L70" s="110"/>
      <c r="M70" s="110"/>
      <c r="N70" s="109"/>
      <c r="O70" s="109"/>
      <c r="P70" s="109"/>
      <c r="Q70" s="109"/>
      <c r="R70" s="109"/>
      <c r="S70" s="109"/>
      <c r="T70" s="119"/>
      <c r="U70" s="119"/>
      <c r="V70" s="119"/>
      <c r="W70" s="119"/>
      <c r="X70" s="119"/>
      <c r="Y70" s="119"/>
      <c r="Z70" s="119"/>
      <c r="AA70" s="119"/>
      <c r="AB70" s="119"/>
      <c r="AC70" s="119"/>
      <c r="AD70" s="119"/>
      <c r="AE70" s="119"/>
      <c r="AF70" s="119"/>
      <c r="AG70" s="119"/>
      <c r="AH70" s="100"/>
    </row>
    <row r="71" spans="2:34" x14ac:dyDescent="0.2">
      <c r="B71" s="147"/>
      <c r="C71" s="147" t="str">
        <f>IF(H63=C171,"Tarif - wurde gewählt!","Angaben zur Überschusseinspeisung")</f>
        <v>Angaben zur Überschusseinspeisung</v>
      </c>
      <c r="D71" s="141"/>
      <c r="E71" s="141"/>
      <c r="F71" s="141"/>
      <c r="G71" s="141"/>
      <c r="H71" s="162"/>
      <c r="I71" s="406"/>
      <c r="J71" s="407"/>
      <c r="L71" s="110"/>
      <c r="M71" s="110"/>
      <c r="N71" s="109"/>
      <c r="O71" s="109"/>
      <c r="P71" s="109"/>
      <c r="Q71" s="109"/>
      <c r="R71" s="109"/>
      <c r="S71" s="109"/>
      <c r="T71" s="119"/>
      <c r="U71" s="119"/>
      <c r="V71" s="119"/>
      <c r="W71" s="119"/>
      <c r="X71" s="119"/>
      <c r="Y71" s="119"/>
      <c r="Z71" s="119"/>
      <c r="AA71" s="119"/>
      <c r="AB71" s="119"/>
      <c r="AC71" s="119"/>
      <c r="AD71" s="119"/>
      <c r="AE71" s="119"/>
      <c r="AF71" s="119"/>
      <c r="AG71" s="119"/>
      <c r="AH71" s="100"/>
    </row>
    <row r="72" spans="2:34" x14ac:dyDescent="0.2">
      <c r="B72" s="165"/>
      <c r="C72" s="165" t="s">
        <v>2706</v>
      </c>
      <c r="D72" s="137"/>
      <c r="E72" s="137"/>
      <c r="F72" s="137"/>
      <c r="G72" s="502" t="s">
        <v>2705</v>
      </c>
      <c r="H72" s="503"/>
      <c r="I72" s="503"/>
      <c r="J72" s="407"/>
      <c r="L72" s="109"/>
      <c r="M72" s="109"/>
      <c r="N72" s="109"/>
      <c r="O72" s="109"/>
      <c r="P72" s="109"/>
      <c r="Q72" s="109"/>
      <c r="R72" s="109"/>
      <c r="S72" s="109"/>
      <c r="T72" s="119"/>
      <c r="W72" s="316"/>
      <c r="X72" s="123"/>
      <c r="Y72" s="318"/>
      <c r="Z72" s="119"/>
      <c r="AA72" s="119"/>
      <c r="AB72" s="119"/>
      <c r="AC72" s="119"/>
      <c r="AD72" s="119"/>
      <c r="AE72" s="119"/>
      <c r="AF72" s="119"/>
      <c r="AG72" s="119"/>
      <c r="AH72" s="100"/>
    </row>
    <row r="73" spans="2:34" ht="5.25" customHeight="1" x14ac:dyDescent="0.2">
      <c r="B73" s="141"/>
      <c r="C73" s="141"/>
      <c r="D73" s="141"/>
      <c r="E73" s="141"/>
      <c r="F73" s="141"/>
      <c r="G73" s="141"/>
      <c r="H73" s="141"/>
      <c r="I73" s="141"/>
      <c r="J73" s="141"/>
      <c r="L73" s="110"/>
      <c r="M73" s="110"/>
      <c r="N73" s="109"/>
      <c r="O73" s="109"/>
      <c r="P73" s="109"/>
      <c r="Q73" s="109"/>
      <c r="R73" s="109"/>
      <c r="S73" s="109"/>
      <c r="T73" s="119"/>
      <c r="U73" s="119"/>
      <c r="V73" s="119"/>
      <c r="W73" s="119"/>
      <c r="X73" s="119"/>
      <c r="Y73" s="119"/>
      <c r="Z73" s="119"/>
      <c r="AA73" s="119"/>
      <c r="AB73" s="119"/>
      <c r="AC73" s="119"/>
      <c r="AD73" s="119"/>
      <c r="AE73" s="119"/>
      <c r="AF73" s="119"/>
      <c r="AG73" s="119"/>
      <c r="AH73" s="100"/>
    </row>
    <row r="74" spans="2:34" x14ac:dyDescent="0.2">
      <c r="B74" s="137"/>
      <c r="C74" s="162"/>
      <c r="D74" s="137"/>
      <c r="E74" s="137"/>
      <c r="F74" s="137"/>
      <c r="G74" s="137" t="s">
        <v>1654</v>
      </c>
      <c r="H74" s="189">
        <v>55</v>
      </c>
      <c r="I74" s="141"/>
      <c r="J74" s="323"/>
      <c r="L74" s="110"/>
      <c r="M74" s="110"/>
      <c r="N74" s="109"/>
      <c r="O74" s="109"/>
      <c r="P74" s="109"/>
      <c r="Q74" s="109"/>
      <c r="R74" s="109"/>
      <c r="S74" s="109"/>
      <c r="T74" s="119"/>
      <c r="U74" s="119"/>
      <c r="V74" s="119"/>
      <c r="W74" s="316"/>
      <c r="X74" s="317"/>
      <c r="Y74" s="119"/>
      <c r="Z74" s="119"/>
      <c r="AA74" s="119"/>
      <c r="AB74" s="119"/>
      <c r="AC74" s="119"/>
      <c r="AD74" s="119"/>
      <c r="AE74" s="119"/>
      <c r="AF74" s="119"/>
      <c r="AG74" s="119"/>
      <c r="AH74" s="100"/>
    </row>
    <row r="75" spans="2:34" x14ac:dyDescent="0.2">
      <c r="B75" s="141"/>
      <c r="C75" s="162"/>
      <c r="D75" s="141"/>
      <c r="E75" s="141"/>
      <c r="F75" s="141"/>
      <c r="G75" s="137" t="s">
        <v>1655</v>
      </c>
      <c r="H75" s="163">
        <f>100-$H$74</f>
        <v>45</v>
      </c>
      <c r="I75" s="141" t="s">
        <v>90</v>
      </c>
      <c r="J75" s="315"/>
      <c r="L75" s="110"/>
      <c r="M75" s="110"/>
      <c r="N75" s="109"/>
      <c r="O75" s="109"/>
      <c r="P75" s="109"/>
      <c r="Q75" s="109"/>
      <c r="R75" s="109"/>
      <c r="S75" s="109"/>
      <c r="T75" s="119"/>
      <c r="U75" s="119"/>
      <c r="V75" s="119"/>
      <c r="W75" s="316"/>
      <c r="X75" s="123"/>
      <c r="Y75" s="119"/>
      <c r="Z75" s="119"/>
      <c r="AA75" s="119"/>
      <c r="AB75" s="119"/>
      <c r="AC75" s="119"/>
      <c r="AD75" s="119"/>
      <c r="AE75" s="119"/>
      <c r="AF75" s="119"/>
      <c r="AG75" s="119"/>
      <c r="AH75" s="100"/>
    </row>
    <row r="76" spans="2:34" ht="5.25" customHeight="1" x14ac:dyDescent="0.2">
      <c r="B76" s="141"/>
      <c r="C76" s="141"/>
      <c r="D76" s="141"/>
      <c r="E76" s="141"/>
      <c r="F76" s="141"/>
      <c r="G76" s="137"/>
      <c r="H76" s="164" t="str">
        <f>IF(H74&gt;100,"Vorsicht! Fehler in der %-Angabe!","")</f>
        <v/>
      </c>
      <c r="I76" s="165"/>
      <c r="J76" s="137"/>
      <c r="L76" s="110"/>
      <c r="M76" s="110"/>
      <c r="N76" s="109"/>
      <c r="O76" s="109"/>
      <c r="P76" s="109"/>
      <c r="Q76" s="109"/>
      <c r="R76" s="109"/>
      <c r="S76" s="109"/>
      <c r="T76" s="119"/>
      <c r="U76" s="119"/>
      <c r="V76" s="119"/>
      <c r="W76" s="119"/>
      <c r="X76" s="119"/>
      <c r="Y76" s="119"/>
      <c r="Z76" s="119"/>
      <c r="AA76" s="119"/>
      <c r="AB76" s="119"/>
      <c r="AC76" s="119"/>
      <c r="AD76" s="119"/>
      <c r="AE76" s="119"/>
      <c r="AF76" s="119"/>
      <c r="AG76" s="119"/>
      <c r="AH76" s="100"/>
    </row>
    <row r="77" spans="2:34" x14ac:dyDescent="0.2">
      <c r="B77" s="137"/>
      <c r="C77" s="137"/>
      <c r="D77" s="137"/>
      <c r="E77" s="137"/>
      <c r="F77" s="137"/>
      <c r="G77" s="137" t="str">
        <f>IF(AND(H63="Fördertarif",H67="Überschusseinspeisung"),"Prognose Strompreis:","Strompreis der aktuell bezogen wird:")</f>
        <v>Strompreis der aktuell bezogen wird:</v>
      </c>
      <c r="H77" s="166">
        <f>IF(AND(H63="Fördertarif",H67="Überschusseinspeisung"),Berechnungen!Q24,H105)</f>
        <v>0.25</v>
      </c>
      <c r="I77" s="141" t="s">
        <v>1623</v>
      </c>
      <c r="J77" s="166"/>
      <c r="L77" s="110"/>
      <c r="M77" s="110"/>
      <c r="N77" s="109"/>
      <c r="O77" s="109"/>
      <c r="P77" s="109"/>
      <c r="Q77" s="109"/>
      <c r="R77" s="109"/>
      <c r="S77" s="109"/>
      <c r="T77" s="119"/>
      <c r="U77" s="119"/>
      <c r="V77" s="119"/>
      <c r="W77" s="113">
        <f>IF(W78&gt;0,1,0)</f>
        <v>0</v>
      </c>
      <c r="X77" s="119"/>
      <c r="Y77" s="119"/>
      <c r="Z77" s="119"/>
      <c r="AA77" s="119"/>
      <c r="AB77" s="119"/>
      <c r="AC77" s="119"/>
      <c r="AD77" s="119"/>
      <c r="AE77" s="119"/>
      <c r="AF77" s="119"/>
      <c r="AG77" s="119"/>
      <c r="AH77" s="100"/>
    </row>
    <row r="78" spans="2:34" ht="13.7" customHeight="1" x14ac:dyDescent="0.2">
      <c r="B78" s="165"/>
      <c r="C78" s="165"/>
      <c r="D78" s="165"/>
      <c r="E78" s="165"/>
      <c r="F78" s="165"/>
      <c r="G78" s="137" t="str">
        <f>IF(AND(H63="Fördertarif",H67="Überschusseinspeisung"),"Prognose Vergütung bei Überschusseinspeisung:","Vergütung bei Überschusseinspeisung:")</f>
        <v>Vergütung bei Überschusseinspeisung:</v>
      </c>
      <c r="H78" s="166">
        <f>IF(AND(H63="Fördertarif",H67="Überschusseinspeisung"),Berechnungen!P24,H106)</f>
        <v>0.06</v>
      </c>
      <c r="I78" s="141" t="s">
        <v>1623</v>
      </c>
      <c r="J78" s="137"/>
      <c r="L78" s="110"/>
      <c r="M78" s="110"/>
      <c r="N78" s="109"/>
      <c r="O78" s="109"/>
      <c r="P78" s="109"/>
      <c r="Q78" s="109"/>
      <c r="R78" s="109"/>
      <c r="S78" s="109"/>
      <c r="T78" s="119"/>
      <c r="U78" s="119"/>
      <c r="V78" s="119"/>
      <c r="W78" s="113">
        <f>(IF(Eingabe!H114*Eingabe!H74/100&gt;25000,IF((Eingabe!H114*Eingabe!H74/100-25000)*0.015&lt;=50,0,(Eingabe!H114*Eingabe!H74/100-25000)*0.015),0))</f>
        <v>0</v>
      </c>
      <c r="X78" s="119"/>
      <c r="Y78" s="119"/>
      <c r="Z78" s="119"/>
      <c r="AA78" s="119"/>
      <c r="AB78" s="119"/>
      <c r="AC78" s="119"/>
      <c r="AD78" s="119"/>
      <c r="AE78" s="119"/>
      <c r="AF78" s="119"/>
      <c r="AG78" s="119"/>
      <c r="AH78" s="100"/>
    </row>
    <row r="79" spans="2:34" ht="5.25" customHeight="1" x14ac:dyDescent="0.2">
      <c r="B79" s="165"/>
      <c r="C79" s="165"/>
      <c r="D79" s="141"/>
      <c r="E79" s="165"/>
      <c r="F79" s="165"/>
      <c r="G79" s="141"/>
      <c r="H79" s="137"/>
      <c r="I79" s="137"/>
      <c r="J79" s="137"/>
      <c r="L79" s="110"/>
      <c r="M79" s="110"/>
      <c r="N79" s="109"/>
      <c r="O79" s="109"/>
      <c r="P79" s="109"/>
      <c r="Q79" s="109"/>
      <c r="R79" s="109"/>
      <c r="S79" s="109"/>
      <c r="T79" s="119"/>
      <c r="U79" s="119"/>
      <c r="V79" s="119"/>
      <c r="W79" s="119"/>
      <c r="X79" s="119"/>
      <c r="Y79" s="119"/>
      <c r="Z79" s="119"/>
      <c r="AA79" s="119"/>
      <c r="AB79" s="119"/>
      <c r="AC79" s="119"/>
      <c r="AD79" s="119"/>
      <c r="AE79" s="119"/>
      <c r="AF79" s="119"/>
      <c r="AG79" s="119"/>
      <c r="AH79" s="100"/>
    </row>
    <row r="80" spans="2:34" ht="12.2" customHeight="1" x14ac:dyDescent="0.2">
      <c r="B80" s="165"/>
      <c r="C80" s="165"/>
      <c r="D80" s="165"/>
      <c r="E80" s="165"/>
      <c r="F80" s="167"/>
      <c r="G80" s="168" t="s">
        <v>1656</v>
      </c>
      <c r="H80" s="319">
        <f>H77*H74/100+H78*H75/100</f>
        <v>0.16450000000000001</v>
      </c>
      <c r="I80" s="147" t="s">
        <v>1623</v>
      </c>
      <c r="J80" s="137"/>
      <c r="L80" s="109"/>
      <c r="M80" s="109"/>
      <c r="N80" s="109"/>
      <c r="O80" s="109"/>
      <c r="P80" s="109"/>
      <c r="Q80" s="109"/>
      <c r="R80" s="109"/>
      <c r="S80" s="109"/>
      <c r="T80" s="119"/>
      <c r="U80" s="119"/>
      <c r="V80" s="119"/>
      <c r="W80" s="119"/>
      <c r="X80" s="119"/>
      <c r="Y80" s="119"/>
      <c r="Z80" s="119"/>
      <c r="AA80" s="119"/>
      <c r="AB80" s="119"/>
      <c r="AC80" s="119"/>
      <c r="AD80" s="119"/>
      <c r="AE80" s="119"/>
      <c r="AF80" s="119"/>
      <c r="AG80" s="119"/>
      <c r="AH80" s="100"/>
    </row>
    <row r="81" spans="2:34" ht="5.25" customHeight="1" x14ac:dyDescent="0.2">
      <c r="B81" s="141"/>
      <c r="C81" s="141"/>
      <c r="D81" s="141"/>
      <c r="E81" s="141"/>
      <c r="F81" s="141"/>
      <c r="G81" s="141"/>
      <c r="H81" s="141"/>
      <c r="I81" s="141"/>
      <c r="J81" s="141"/>
      <c r="L81" s="110"/>
      <c r="M81" s="110"/>
      <c r="N81" s="110"/>
      <c r="O81" s="110"/>
      <c r="P81" s="110"/>
      <c r="Q81" s="110"/>
      <c r="R81" s="109"/>
      <c r="S81" s="109"/>
      <c r="T81" s="119"/>
      <c r="U81" s="119"/>
      <c r="V81" s="119"/>
      <c r="W81" s="119"/>
      <c r="X81" s="119"/>
      <c r="Y81" s="119"/>
      <c r="Z81" s="119"/>
      <c r="AA81" s="119"/>
      <c r="AB81" s="119"/>
      <c r="AC81" s="119"/>
      <c r="AD81" s="119"/>
      <c r="AE81" s="119"/>
      <c r="AF81" s="119"/>
      <c r="AG81" s="119"/>
      <c r="AH81" s="100"/>
    </row>
    <row r="82" spans="2:34" ht="7.5" customHeight="1" x14ac:dyDescent="0.2">
      <c r="K82" s="7"/>
      <c r="L82" s="110"/>
      <c r="M82" s="110"/>
      <c r="N82" s="109"/>
      <c r="O82" s="109"/>
      <c r="P82" s="109"/>
      <c r="Q82" s="109"/>
      <c r="R82" s="109"/>
      <c r="S82" s="109"/>
      <c r="T82" s="119"/>
      <c r="U82" s="119"/>
      <c r="V82" s="119"/>
      <c r="W82" s="119"/>
      <c r="X82" s="119"/>
      <c r="Y82" s="119"/>
      <c r="Z82" s="119"/>
      <c r="AA82" s="119"/>
      <c r="AB82" s="119"/>
      <c r="AC82" s="119"/>
      <c r="AD82" s="119"/>
      <c r="AE82" s="119"/>
      <c r="AF82" s="119"/>
      <c r="AG82" s="119"/>
      <c r="AH82" s="100"/>
    </row>
    <row r="83" spans="2:34" ht="18" x14ac:dyDescent="0.25">
      <c r="B83" s="325"/>
      <c r="C83" s="325" t="s">
        <v>780</v>
      </c>
      <c r="D83" s="326"/>
      <c r="E83" s="326"/>
      <c r="F83" s="326"/>
      <c r="G83" s="326"/>
      <c r="H83" s="327"/>
      <c r="I83" s="327"/>
      <c r="J83" s="327"/>
      <c r="L83" s="109"/>
      <c r="M83" s="109"/>
      <c r="N83" s="109"/>
      <c r="O83" s="109"/>
      <c r="P83" s="109"/>
      <c r="Q83" s="109"/>
      <c r="R83" s="109"/>
      <c r="S83" s="109"/>
      <c r="T83" s="119"/>
      <c r="U83" s="119"/>
      <c r="V83" s="119"/>
      <c r="W83" s="119"/>
      <c r="X83" s="119"/>
      <c r="Y83" s="119"/>
      <c r="Z83" s="119"/>
      <c r="AA83" s="119"/>
      <c r="AB83" s="119"/>
      <c r="AC83" s="119"/>
      <c r="AD83" s="119"/>
      <c r="AE83" s="119"/>
      <c r="AF83" s="119"/>
      <c r="AG83" s="119"/>
      <c r="AH83" s="100"/>
    </row>
    <row r="84" spans="2:34" ht="5.25" customHeight="1" x14ac:dyDescent="0.2">
      <c r="B84" s="141"/>
      <c r="C84" s="141"/>
      <c r="D84" s="141"/>
      <c r="E84" s="141"/>
      <c r="F84" s="141"/>
      <c r="G84" s="141"/>
      <c r="H84" s="141"/>
      <c r="I84" s="141"/>
      <c r="J84" s="141"/>
      <c r="L84" s="110"/>
      <c r="M84" s="110"/>
      <c r="N84" s="109"/>
      <c r="O84" s="109"/>
      <c r="P84" s="109"/>
      <c r="Q84" s="109"/>
      <c r="R84" s="109"/>
      <c r="S84" s="109"/>
      <c r="T84" s="119"/>
      <c r="U84" s="119"/>
      <c r="V84" s="119"/>
      <c r="W84" s="119"/>
      <c r="X84" s="119"/>
      <c r="Y84" s="119"/>
      <c r="Z84" s="119"/>
      <c r="AA84" s="119"/>
      <c r="AB84" s="119"/>
      <c r="AC84" s="119"/>
      <c r="AD84" s="119"/>
      <c r="AE84" s="119"/>
      <c r="AF84" s="119"/>
      <c r="AG84" s="119"/>
      <c r="AH84" s="100"/>
    </row>
    <row r="85" spans="2:34" x14ac:dyDescent="0.2">
      <c r="B85" s="146"/>
      <c r="C85" s="146" t="str">
        <f>IF(H63=C173,"Investitionskosten (inkl. MwSt.)","Investitionskosten")</f>
        <v>Investitionskosten (inkl. MwSt.)</v>
      </c>
      <c r="D85" s="136"/>
      <c r="E85" s="141"/>
      <c r="F85" s="141"/>
      <c r="G85" s="141"/>
      <c r="H85" s="141"/>
      <c r="I85" s="141"/>
      <c r="J85" s="162"/>
      <c r="L85" s="109"/>
      <c r="M85" s="109"/>
      <c r="N85" s="109"/>
      <c r="O85" s="109"/>
      <c r="P85" s="109"/>
      <c r="Q85" s="109"/>
      <c r="R85" s="109"/>
      <c r="S85" s="109"/>
      <c r="T85" s="119"/>
      <c r="U85" s="119"/>
      <c r="V85" s="119"/>
      <c r="W85" s="119"/>
      <c r="X85" s="119"/>
      <c r="Y85" s="119"/>
      <c r="Z85" s="119"/>
      <c r="AA85" s="119"/>
      <c r="AB85" s="119"/>
      <c r="AC85" s="119"/>
      <c r="AD85" s="119"/>
      <c r="AE85" s="119"/>
      <c r="AF85" s="119"/>
      <c r="AG85" s="119"/>
      <c r="AH85" s="100"/>
    </row>
    <row r="86" spans="2:34" ht="4.7" customHeight="1" x14ac:dyDescent="0.2">
      <c r="B86" s="141"/>
      <c r="C86" s="141"/>
      <c r="D86" s="141"/>
      <c r="E86" s="141"/>
      <c r="F86" s="141"/>
      <c r="G86" s="141"/>
      <c r="H86" s="141"/>
      <c r="I86" s="141"/>
      <c r="J86" s="141"/>
      <c r="L86" s="110"/>
      <c r="M86" s="110"/>
      <c r="N86" s="109"/>
      <c r="O86" s="109"/>
      <c r="P86" s="109"/>
      <c r="Q86" s="109"/>
      <c r="R86" s="109"/>
      <c r="S86" s="109"/>
      <c r="T86" s="119"/>
      <c r="U86" s="119"/>
      <c r="V86" s="119"/>
      <c r="W86" s="119"/>
      <c r="X86" s="119"/>
      <c r="Y86" s="119"/>
      <c r="Z86" s="119"/>
      <c r="AA86" s="119"/>
      <c r="AB86" s="119"/>
      <c r="AC86" s="119"/>
      <c r="AD86" s="119"/>
      <c r="AE86" s="119"/>
      <c r="AF86" s="119"/>
      <c r="AG86" s="119"/>
      <c r="AH86" s="100"/>
    </row>
    <row r="87" spans="2:34" x14ac:dyDescent="0.2">
      <c r="B87" s="146"/>
      <c r="C87" s="146"/>
      <c r="D87" s="136"/>
      <c r="E87" s="136"/>
      <c r="F87" s="136"/>
      <c r="G87" s="136" t="s">
        <v>1550</v>
      </c>
      <c r="H87" s="185">
        <v>1500</v>
      </c>
      <c r="I87" s="139" t="s">
        <v>1974</v>
      </c>
      <c r="J87" s="162"/>
      <c r="L87" s="109"/>
      <c r="M87" s="109"/>
      <c r="N87" s="109"/>
      <c r="O87" s="109"/>
      <c r="P87" s="109"/>
      <c r="Q87" s="109"/>
      <c r="R87" s="109"/>
      <c r="S87" s="109"/>
      <c r="T87" s="119"/>
      <c r="U87" s="119"/>
      <c r="V87" s="119"/>
      <c r="W87" s="119"/>
      <c r="X87" s="119"/>
      <c r="Y87" s="119"/>
      <c r="Z87" s="119"/>
      <c r="AA87" s="119"/>
      <c r="AB87" s="119"/>
      <c r="AC87" s="119"/>
      <c r="AD87" s="119"/>
      <c r="AE87" s="119"/>
      <c r="AF87" s="119"/>
      <c r="AG87" s="119"/>
      <c r="AH87" s="100"/>
    </row>
    <row r="88" spans="2:34" x14ac:dyDescent="0.2">
      <c r="B88" s="141"/>
      <c r="C88" s="141"/>
      <c r="D88" s="141"/>
      <c r="E88" s="141"/>
      <c r="F88" s="141"/>
      <c r="G88" s="137" t="str">
        <f>IF(H88&lt;100%,"Eigenkapitalquote / Zinsen Fremdkapital:","Eigenkapitalquote:")</f>
        <v>Eigenkapitalquote:</v>
      </c>
      <c r="H88" s="284">
        <v>1</v>
      </c>
      <c r="I88" s="290">
        <v>0.03</v>
      </c>
      <c r="J88" s="238"/>
      <c r="L88" s="110"/>
      <c r="M88" s="110"/>
      <c r="N88" s="109"/>
      <c r="O88" s="109"/>
      <c r="P88" s="109"/>
      <c r="Q88" s="109"/>
      <c r="R88" s="109"/>
      <c r="S88" s="109"/>
      <c r="T88" s="119"/>
      <c r="U88" s="119"/>
      <c r="V88" s="119"/>
      <c r="W88" s="119"/>
      <c r="X88" s="119"/>
      <c r="Y88" s="119"/>
      <c r="Z88" s="119"/>
      <c r="AA88" s="119"/>
      <c r="AB88" s="119"/>
      <c r="AC88" s="119"/>
      <c r="AD88" s="119"/>
      <c r="AE88" s="119"/>
      <c r="AF88" s="119"/>
      <c r="AG88" s="119"/>
      <c r="AH88" s="100"/>
    </row>
    <row r="89" spans="2:34" x14ac:dyDescent="0.2">
      <c r="B89" s="141"/>
      <c r="C89" s="141"/>
      <c r="D89" s="141"/>
      <c r="E89" s="141"/>
      <c r="F89" s="141"/>
      <c r="G89" s="137" t="str">
        <f>IF(H88&lt;100%,"Kreditlaufzeit / Tilgungsfreie Jahre:","")</f>
        <v/>
      </c>
      <c r="H89" s="291">
        <v>10</v>
      </c>
      <c r="I89" s="291">
        <v>2</v>
      </c>
      <c r="J89" s="285">
        <f>I89+1</f>
        <v>3</v>
      </c>
      <c r="L89" s="110"/>
      <c r="M89" s="110"/>
      <c r="N89" s="109"/>
      <c r="O89" s="109"/>
      <c r="P89" s="109"/>
      <c r="Q89" s="109"/>
      <c r="R89" s="109"/>
      <c r="S89" s="109"/>
      <c r="T89" s="119"/>
      <c r="U89" s="119"/>
      <c r="V89" s="119"/>
      <c r="W89" s="119"/>
      <c r="X89" s="119"/>
      <c r="Y89" s="119"/>
      <c r="Z89" s="119"/>
      <c r="AA89" s="119"/>
      <c r="AB89" s="119"/>
      <c r="AC89" s="119"/>
      <c r="AD89" s="119"/>
      <c r="AE89" s="119"/>
      <c r="AF89" s="119"/>
      <c r="AG89" s="119"/>
      <c r="AH89" s="100"/>
    </row>
    <row r="90" spans="2:34" x14ac:dyDescent="0.2">
      <c r="B90" s="136"/>
      <c r="C90" s="136"/>
      <c r="D90" s="136"/>
      <c r="E90" s="136"/>
      <c r="F90" s="136"/>
      <c r="G90" s="136" t="s">
        <v>2647</v>
      </c>
      <c r="H90" s="152">
        <f>H87*H37</f>
        <v>9000</v>
      </c>
      <c r="I90" s="139" t="s">
        <v>1621</v>
      </c>
      <c r="J90" s="285">
        <f>H89-I89</f>
        <v>8</v>
      </c>
      <c r="L90" s="110"/>
      <c r="M90" s="110"/>
      <c r="N90" s="109"/>
      <c r="O90" s="109"/>
      <c r="P90" s="109"/>
      <c r="Q90" s="109"/>
      <c r="R90" s="109"/>
      <c r="S90" s="109"/>
      <c r="T90" s="119"/>
      <c r="U90" s="119"/>
      <c r="V90" s="119"/>
      <c r="W90" s="119"/>
      <c r="X90" s="119"/>
      <c r="Y90" s="119"/>
      <c r="Z90" s="119"/>
      <c r="AA90" s="119"/>
      <c r="AB90" s="119"/>
      <c r="AC90" s="119"/>
      <c r="AD90" s="119"/>
      <c r="AE90" s="119"/>
      <c r="AF90" s="119"/>
      <c r="AG90" s="119"/>
      <c r="AH90" s="100"/>
    </row>
    <row r="91" spans="2:34" x14ac:dyDescent="0.2">
      <c r="B91" s="136"/>
      <c r="C91" s="136"/>
      <c r="D91" s="136"/>
      <c r="E91" s="136"/>
      <c r="F91" s="136"/>
      <c r="G91" s="151" t="str">
        <f>IF(AND(F220=0,OR(G220&lt;&gt;0,H220&lt;&gt;0)),"- Investitionsförderung Bund:",IF(AND(F220&lt;&gt;0,G220=0),"- Investitionsförderung Land:","- Investförderung des Landes:"))</f>
        <v>- Investitionsförderung Land:</v>
      </c>
      <c r="H91" s="153">
        <f>IF(AND(H63=Landesfoerderung),F220,G220)</f>
        <v>1500</v>
      </c>
      <c r="I91" s="139" t="s">
        <v>1621</v>
      </c>
      <c r="J91" s="141"/>
      <c r="L91" s="110"/>
      <c r="M91" s="110"/>
      <c r="N91" s="109"/>
      <c r="O91" s="109"/>
      <c r="P91" s="109"/>
      <c r="Q91" s="109"/>
      <c r="R91" s="109"/>
      <c r="S91" s="109"/>
      <c r="T91" s="119"/>
      <c r="U91" s="119"/>
      <c r="V91" s="119"/>
      <c r="W91" s="119"/>
      <c r="X91" s="119"/>
      <c r="Y91" s="119"/>
      <c r="Z91" s="119"/>
      <c r="AA91" s="119"/>
      <c r="AB91" s="119"/>
      <c r="AC91" s="119"/>
      <c r="AD91" s="119"/>
      <c r="AE91" s="119"/>
      <c r="AF91" s="119"/>
      <c r="AG91" s="119"/>
      <c r="AH91" s="100"/>
    </row>
    <row r="92" spans="2:34" x14ac:dyDescent="0.2">
      <c r="B92" s="136"/>
      <c r="C92" s="136"/>
      <c r="D92" s="136"/>
      <c r="E92" s="136"/>
      <c r="F92" s="136"/>
      <c r="G92" s="151" t="str">
        <f>IF($H$65=$Y$194,"","- Made-in-Europe-Bonus:")</f>
        <v>- Made-in-Europe-Bonus:</v>
      </c>
      <c r="H92" s="153">
        <f>IF($H$65=$Y$194,"",VLOOKUP($H$65,$Y$194:$AD$197,6,FALSE))</f>
        <v>270</v>
      </c>
      <c r="I92" s="139" t="s">
        <v>1621</v>
      </c>
      <c r="J92" s="292" t="s">
        <v>2649</v>
      </c>
      <c r="L92" s="225"/>
      <c r="M92" s="225"/>
      <c r="N92" s="260"/>
      <c r="O92" s="260"/>
      <c r="P92" s="260"/>
      <c r="Q92" s="260"/>
      <c r="R92" s="260"/>
      <c r="S92" s="260"/>
      <c r="T92" s="119"/>
      <c r="U92" s="119"/>
      <c r="V92" s="119"/>
      <c r="W92" s="119"/>
      <c r="X92" s="119"/>
      <c r="Y92" s="119"/>
      <c r="Z92" s="119"/>
      <c r="AA92" s="119"/>
      <c r="AB92" s="119"/>
      <c r="AC92" s="119"/>
      <c r="AD92" s="119"/>
      <c r="AE92" s="119"/>
      <c r="AF92" s="119"/>
      <c r="AG92" s="119"/>
      <c r="AH92" s="100"/>
    </row>
    <row r="93" spans="2:34" x14ac:dyDescent="0.2">
      <c r="B93" s="136"/>
      <c r="C93" s="136"/>
      <c r="D93" s="136"/>
      <c r="E93" s="136"/>
      <c r="F93" s="136"/>
      <c r="G93" s="151" t="str">
        <f>IF(G91="- Investitionsförderung Bund:","Sonstige Förderung:","- sonstige Förderung (z.B.: Gemeinde):")</f>
        <v>- sonstige Förderung (z.B.: Gemeinde):</v>
      </c>
      <c r="H93" s="185" t="s">
        <v>828</v>
      </c>
      <c r="I93" s="139" t="s">
        <v>1621</v>
      </c>
      <c r="J93" s="292" t="s">
        <v>2649</v>
      </c>
      <c r="L93" s="225"/>
      <c r="M93" s="225"/>
      <c r="N93" s="260"/>
      <c r="O93" s="260"/>
      <c r="P93" s="260"/>
      <c r="Q93" s="260"/>
      <c r="R93" s="260"/>
      <c r="S93" s="260"/>
      <c r="T93" s="119"/>
      <c r="U93" s="119"/>
      <c r="V93" s="119"/>
      <c r="W93" s="119"/>
      <c r="X93" s="119"/>
      <c r="Y93" s="119"/>
      <c r="Z93" s="119"/>
      <c r="AA93" s="119"/>
      <c r="AB93" s="119"/>
      <c r="AC93" s="119"/>
      <c r="AD93" s="119"/>
      <c r="AE93" s="119"/>
      <c r="AF93" s="119"/>
      <c r="AG93" s="119"/>
      <c r="AH93" s="100"/>
    </row>
    <row r="94" spans="2:34" ht="18" x14ac:dyDescent="0.25">
      <c r="B94" s="136"/>
      <c r="C94" s="136"/>
      <c r="D94" s="136"/>
      <c r="E94" s="136"/>
      <c r="F94" s="136"/>
      <c r="G94" s="154" t="s">
        <v>1551</v>
      </c>
      <c r="H94" s="155">
        <f>H90-(SUM(H91:H93))</f>
        <v>7230</v>
      </c>
      <c r="I94" s="139" t="s">
        <v>1621</v>
      </c>
      <c r="J94" s="292">
        <f>H88*H94</f>
        <v>7230</v>
      </c>
      <c r="L94" s="325"/>
      <c r="M94" s="325" t="s">
        <v>2595</v>
      </c>
      <c r="N94" s="328"/>
      <c r="O94" s="326"/>
      <c r="P94" s="326"/>
      <c r="Q94" s="326"/>
      <c r="R94" s="327"/>
      <c r="S94" s="327"/>
      <c r="T94" s="120"/>
      <c r="U94" s="119"/>
      <c r="V94" s="119"/>
      <c r="W94" s="119"/>
      <c r="X94" s="119"/>
      <c r="Y94" s="119"/>
      <c r="Z94" s="119"/>
      <c r="AA94" s="119"/>
      <c r="AB94" s="119"/>
      <c r="AC94" s="119"/>
      <c r="AD94" s="119"/>
      <c r="AE94" s="119"/>
      <c r="AF94" s="119"/>
      <c r="AG94" s="119"/>
      <c r="AH94" s="100"/>
    </row>
    <row r="95" spans="2:34" ht="5.25" customHeight="1" x14ac:dyDescent="0.2">
      <c r="B95" s="136"/>
      <c r="C95" s="136"/>
      <c r="D95" s="136"/>
      <c r="E95" s="136"/>
      <c r="F95" s="136"/>
      <c r="G95" s="151"/>
      <c r="H95" s="149"/>
      <c r="I95" s="139"/>
      <c r="J95" s="141"/>
      <c r="L95" s="286"/>
      <c r="M95" s="286"/>
      <c r="N95" s="287"/>
      <c r="O95" s="287"/>
      <c r="P95" s="287"/>
      <c r="Q95" s="287"/>
      <c r="R95" s="287"/>
      <c r="S95" s="287"/>
      <c r="T95" s="120"/>
      <c r="U95" s="120"/>
      <c r="V95" s="120"/>
      <c r="W95" s="120"/>
      <c r="X95" s="120"/>
      <c r="Y95" s="120"/>
      <c r="Z95" s="120"/>
      <c r="AA95" s="120"/>
      <c r="AB95" s="120"/>
      <c r="AC95" s="120"/>
      <c r="AD95" s="120"/>
      <c r="AE95" s="120"/>
      <c r="AF95" s="120"/>
      <c r="AG95" s="120"/>
    </row>
    <row r="96" spans="2:34" x14ac:dyDescent="0.2">
      <c r="B96" s="219"/>
      <c r="C96" s="219" t="str">
        <f>IF(H63=C173,"Laufende Kosten (inkl. MwSt.)","Laufende Kosten")</f>
        <v>Laufende Kosten (inkl. MwSt.)</v>
      </c>
      <c r="D96" s="186"/>
      <c r="E96" s="186"/>
      <c r="F96" s="186"/>
      <c r="G96" s="186"/>
      <c r="H96" s="186"/>
      <c r="I96" s="187"/>
      <c r="J96" s="210"/>
      <c r="L96" s="287"/>
      <c r="M96" s="286"/>
      <c r="N96" s="287"/>
      <c r="O96" s="287"/>
      <c r="P96" s="287"/>
      <c r="Q96" s="287"/>
      <c r="R96" s="287"/>
      <c r="S96" s="287"/>
      <c r="U96" s="120"/>
      <c r="V96" s="120"/>
      <c r="W96" s="120"/>
      <c r="X96" s="120"/>
      <c r="Y96" s="120"/>
      <c r="Z96" s="120"/>
      <c r="AA96" s="120"/>
      <c r="AB96" s="120"/>
      <c r="AC96" s="120"/>
      <c r="AD96" s="120"/>
      <c r="AE96" s="120"/>
      <c r="AF96" s="120"/>
      <c r="AG96" s="120"/>
    </row>
    <row r="97" spans="2:33" ht="13.9" customHeight="1" x14ac:dyDescent="0.2">
      <c r="B97" s="136"/>
      <c r="C97" s="136"/>
      <c r="D97" s="136"/>
      <c r="E97" s="136"/>
      <c r="F97" s="136" t="s">
        <v>2653</v>
      </c>
      <c r="G97" s="221" t="s">
        <v>2628</v>
      </c>
      <c r="H97" s="220">
        <v>3500</v>
      </c>
      <c r="I97" s="139" t="s">
        <v>2627</v>
      </c>
      <c r="J97" s="141"/>
      <c r="L97" s="110"/>
      <c r="M97" s="110"/>
      <c r="N97" s="109"/>
      <c r="O97" s="109"/>
      <c r="P97" s="109"/>
      <c r="Q97" s="109"/>
      <c r="R97" s="109"/>
      <c r="S97" s="109"/>
      <c r="T97" s="120"/>
      <c r="U97" s="120"/>
      <c r="V97" s="120"/>
      <c r="W97" s="120"/>
      <c r="X97" s="120"/>
      <c r="Y97" s="120"/>
      <c r="Z97" s="120"/>
      <c r="AA97" s="120"/>
      <c r="AB97" s="120"/>
      <c r="AC97" s="120"/>
      <c r="AD97" s="120"/>
      <c r="AE97" s="120"/>
      <c r="AF97" s="120"/>
      <c r="AG97" s="120"/>
    </row>
    <row r="98" spans="2:33" x14ac:dyDescent="0.2">
      <c r="B98" s="136"/>
      <c r="C98" s="136"/>
      <c r="D98" s="136"/>
      <c r="E98" s="136"/>
      <c r="F98" s="136"/>
      <c r="G98" s="136" t="s">
        <v>2721</v>
      </c>
      <c r="H98" s="415">
        <v>0</v>
      </c>
      <c r="I98" s="139" t="s">
        <v>2720</v>
      </c>
      <c r="J98" s="141"/>
      <c r="L98" s="110"/>
      <c r="M98" s="110"/>
      <c r="N98" s="109"/>
      <c r="O98" s="109"/>
      <c r="P98" s="109"/>
      <c r="Q98" s="109"/>
      <c r="R98" s="109"/>
      <c r="S98" s="109"/>
      <c r="T98" s="120"/>
      <c r="U98" s="120"/>
      <c r="V98" s="120"/>
      <c r="W98" s="120"/>
      <c r="X98" s="120"/>
      <c r="Y98" s="120"/>
      <c r="Z98" s="120"/>
      <c r="AA98" s="120"/>
      <c r="AB98" s="120"/>
      <c r="AC98" s="120"/>
      <c r="AD98" s="120"/>
      <c r="AE98" s="120"/>
      <c r="AF98" s="120"/>
      <c r="AG98" s="120"/>
    </row>
    <row r="99" spans="2:33" x14ac:dyDescent="0.2">
      <c r="B99" s="136"/>
      <c r="C99" s="136"/>
      <c r="D99" s="136"/>
      <c r="E99" s="136"/>
      <c r="F99" s="136"/>
      <c r="G99" s="136" t="s">
        <v>1658</v>
      </c>
      <c r="H99" s="179">
        <v>0.4</v>
      </c>
      <c r="I99" s="139" t="s">
        <v>90</v>
      </c>
      <c r="J99" s="141"/>
      <c r="L99" s="110"/>
      <c r="M99" s="110"/>
      <c r="N99" s="109"/>
      <c r="O99" s="109"/>
      <c r="P99" s="109"/>
      <c r="Q99" s="109"/>
      <c r="R99" s="109"/>
      <c r="S99" s="109"/>
      <c r="T99" s="120"/>
      <c r="U99" s="120"/>
      <c r="V99" s="120"/>
      <c r="W99" s="120"/>
      <c r="X99" s="120"/>
      <c r="Y99" s="120"/>
      <c r="Z99" s="120"/>
      <c r="AA99" s="120"/>
      <c r="AB99" s="120"/>
      <c r="AC99" s="120"/>
      <c r="AD99" s="120"/>
      <c r="AE99" s="120"/>
      <c r="AF99" s="120"/>
      <c r="AG99" s="120"/>
    </row>
    <row r="100" spans="2:33" x14ac:dyDescent="0.2">
      <c r="B100" s="136"/>
      <c r="C100" s="136"/>
      <c r="D100" s="136"/>
      <c r="E100" s="136"/>
      <c r="F100" s="136"/>
      <c r="G100" s="136" t="s">
        <v>2209</v>
      </c>
      <c r="H100" s="179">
        <v>0.5</v>
      </c>
      <c r="I100" s="139" t="s">
        <v>90</v>
      </c>
      <c r="J100" s="141"/>
      <c r="L100" s="110"/>
      <c r="M100" s="110"/>
      <c r="N100" s="109"/>
      <c r="O100" s="109"/>
      <c r="P100" s="109"/>
      <c r="Q100" s="109"/>
      <c r="R100" s="109"/>
      <c r="S100" s="109"/>
      <c r="T100" s="120"/>
      <c r="U100" s="120"/>
      <c r="V100" s="120"/>
      <c r="W100" s="120"/>
      <c r="X100" s="120"/>
      <c r="Y100" s="120"/>
      <c r="Z100" s="120"/>
      <c r="AA100" s="120"/>
      <c r="AB100" s="120"/>
      <c r="AC100" s="120"/>
      <c r="AD100" s="120"/>
      <c r="AE100" s="120"/>
      <c r="AF100" s="120"/>
      <c r="AG100" s="120"/>
    </row>
    <row r="101" spans="2:33" ht="5.25" customHeight="1" x14ac:dyDescent="0.2">
      <c r="B101" s="181"/>
      <c r="C101" s="181"/>
      <c r="D101" s="181"/>
      <c r="E101" s="181"/>
      <c r="F101" s="181"/>
      <c r="G101" s="182"/>
      <c r="H101" s="183"/>
      <c r="I101" s="184"/>
      <c r="J101" s="188"/>
      <c r="L101" s="110"/>
      <c r="M101" s="110"/>
      <c r="N101" s="109"/>
      <c r="O101" s="109"/>
      <c r="P101" s="109"/>
      <c r="Q101" s="109"/>
      <c r="R101" s="109"/>
      <c r="S101" s="109"/>
      <c r="T101" s="120"/>
      <c r="U101" s="120"/>
      <c r="V101" s="120"/>
      <c r="W101" s="120"/>
      <c r="X101" s="120"/>
      <c r="Y101" s="120"/>
      <c r="Z101" s="120"/>
      <c r="AA101" s="120"/>
      <c r="AB101" s="120"/>
      <c r="AC101" s="120"/>
      <c r="AD101" s="120"/>
      <c r="AE101" s="120"/>
      <c r="AF101" s="120"/>
      <c r="AG101" s="120"/>
    </row>
    <row r="102" spans="2:33" x14ac:dyDescent="0.2">
      <c r="B102" s="146"/>
      <c r="C102" s="146" t="s">
        <v>2210</v>
      </c>
      <c r="D102" s="136"/>
      <c r="E102" s="136"/>
      <c r="F102" s="136"/>
      <c r="G102" s="136"/>
      <c r="H102" s="149"/>
      <c r="I102" s="139"/>
      <c r="J102" s="141"/>
      <c r="L102" s="110"/>
      <c r="M102" s="110"/>
      <c r="N102" s="109"/>
      <c r="O102" s="109"/>
      <c r="P102" s="109"/>
      <c r="Q102" s="109"/>
      <c r="R102" s="109"/>
      <c r="S102" s="109"/>
      <c r="T102" s="120"/>
      <c r="U102" s="120"/>
      <c r="V102" s="120"/>
      <c r="W102" s="120"/>
      <c r="X102" s="120"/>
      <c r="Y102" s="120"/>
      <c r="Z102" s="120"/>
      <c r="AA102" s="120"/>
      <c r="AB102" s="120"/>
      <c r="AC102" s="120"/>
      <c r="AD102" s="120"/>
      <c r="AE102" s="120"/>
      <c r="AF102" s="120"/>
      <c r="AG102" s="120"/>
    </row>
    <row r="103" spans="2:33" ht="4.7" customHeight="1" x14ac:dyDescent="0.2">
      <c r="B103" s="136"/>
      <c r="C103" s="136"/>
      <c r="D103" s="136"/>
      <c r="E103" s="150"/>
      <c r="F103" s="136"/>
      <c r="G103" s="151"/>
      <c r="H103" s="149"/>
      <c r="I103" s="139"/>
      <c r="J103" s="141"/>
      <c r="L103" s="110"/>
      <c r="M103" s="110"/>
      <c r="N103" s="109"/>
      <c r="O103" s="109"/>
      <c r="P103" s="109"/>
      <c r="Q103" s="109"/>
      <c r="R103" s="109"/>
      <c r="S103" s="109"/>
      <c r="T103" s="120"/>
      <c r="U103" s="120"/>
      <c r="V103" s="120"/>
      <c r="W103" s="120"/>
      <c r="X103" s="120"/>
      <c r="Y103" s="120"/>
      <c r="Z103" s="120"/>
      <c r="AA103" s="120"/>
      <c r="AB103" s="120"/>
      <c r="AC103" s="120"/>
      <c r="AD103" s="120"/>
      <c r="AE103" s="120"/>
      <c r="AF103" s="120"/>
      <c r="AG103" s="120"/>
    </row>
    <row r="104" spans="2:33" x14ac:dyDescent="0.2">
      <c r="B104" s="136"/>
      <c r="C104" s="136"/>
      <c r="D104" s="136"/>
      <c r="E104" s="136"/>
      <c r="F104" s="136"/>
      <c r="G104" s="136" t="s">
        <v>787</v>
      </c>
      <c r="H104" s="204">
        <v>4</v>
      </c>
      <c r="I104" s="139" t="s">
        <v>90</v>
      </c>
      <c r="J104" s="141"/>
      <c r="L104" s="110"/>
      <c r="M104" s="110"/>
      <c r="N104" s="109"/>
      <c r="O104" s="109"/>
      <c r="P104" s="109"/>
      <c r="Q104" s="109"/>
      <c r="R104" s="109"/>
      <c r="S104" s="109"/>
      <c r="T104" s="120"/>
      <c r="U104" s="120"/>
      <c r="V104" s="120"/>
      <c r="W104" s="120"/>
      <c r="X104" s="120"/>
      <c r="Y104" s="120"/>
      <c r="Z104" s="120"/>
      <c r="AA104" s="120"/>
      <c r="AB104" s="120"/>
      <c r="AC104" s="120"/>
      <c r="AD104" s="120"/>
      <c r="AE104" s="120"/>
      <c r="AF104" s="120"/>
      <c r="AG104" s="120"/>
    </row>
    <row r="105" spans="2:33" x14ac:dyDescent="0.2">
      <c r="B105" s="136"/>
      <c r="C105" s="136"/>
      <c r="D105" s="136"/>
      <c r="E105" s="136"/>
      <c r="F105" s="136"/>
      <c r="G105" s="136" t="s">
        <v>2650</v>
      </c>
      <c r="H105" s="178">
        <v>0.25</v>
      </c>
      <c r="I105" s="139" t="s">
        <v>1623</v>
      </c>
      <c r="J105" s="141"/>
      <c r="L105" s="110"/>
      <c r="M105" s="110"/>
      <c r="N105" s="109"/>
      <c r="O105" s="109"/>
      <c r="P105" s="109"/>
      <c r="Q105" s="109"/>
      <c r="R105" s="109"/>
      <c r="S105" s="109"/>
      <c r="T105" s="120"/>
      <c r="U105" s="120"/>
      <c r="V105" s="120"/>
      <c r="W105" s="120"/>
      <c r="X105" s="120"/>
      <c r="Y105" s="120"/>
      <c r="Z105" s="120"/>
      <c r="AA105" s="120"/>
      <c r="AB105" s="120"/>
      <c r="AC105" s="120"/>
      <c r="AD105" s="120"/>
      <c r="AE105" s="120"/>
      <c r="AF105" s="120"/>
      <c r="AG105" s="120"/>
    </row>
    <row r="106" spans="2:33" x14ac:dyDescent="0.2">
      <c r="B106" s="136"/>
      <c r="C106" s="136"/>
      <c r="D106" s="136"/>
      <c r="E106" s="136"/>
      <c r="F106" s="136"/>
      <c r="G106" s="136" t="s">
        <v>160</v>
      </c>
      <c r="H106" s="178">
        <v>0.06</v>
      </c>
      <c r="I106" s="139" t="s">
        <v>1623</v>
      </c>
      <c r="J106" s="141"/>
      <c r="L106" s="110"/>
      <c r="M106" s="110"/>
      <c r="N106" s="109"/>
      <c r="O106" s="109"/>
      <c r="P106" s="109"/>
      <c r="Q106" s="109"/>
      <c r="R106" s="109"/>
      <c r="S106" s="109"/>
      <c r="T106" s="120"/>
      <c r="U106" s="120"/>
      <c r="V106" s="120"/>
      <c r="W106" s="120"/>
      <c r="X106" s="120"/>
      <c r="Y106" s="120"/>
      <c r="Z106" s="120"/>
      <c r="AA106" s="120"/>
      <c r="AB106" s="120"/>
      <c r="AC106" s="120"/>
      <c r="AD106" s="120"/>
      <c r="AE106" s="120"/>
      <c r="AF106" s="120"/>
      <c r="AG106" s="120"/>
    </row>
    <row r="107" spans="2:33" x14ac:dyDescent="0.2">
      <c r="B107" s="136"/>
      <c r="C107" s="136"/>
      <c r="D107" s="136"/>
      <c r="E107" s="136"/>
      <c r="F107" s="136"/>
      <c r="G107" s="136" t="s">
        <v>788</v>
      </c>
      <c r="H107" s="204">
        <v>2</v>
      </c>
      <c r="I107" s="139" t="s">
        <v>90</v>
      </c>
      <c r="J107" s="141"/>
      <c r="L107" s="110"/>
      <c r="M107" s="110"/>
      <c r="N107" s="109"/>
      <c r="O107" s="109"/>
      <c r="P107" s="109"/>
      <c r="Q107" s="109"/>
      <c r="R107" s="109"/>
      <c r="S107" s="109"/>
      <c r="T107" s="120"/>
      <c r="U107" s="120"/>
      <c r="V107" s="120"/>
      <c r="W107" s="120"/>
      <c r="X107" s="120"/>
      <c r="Y107" s="120"/>
      <c r="Z107" s="120"/>
      <c r="AA107" s="120"/>
      <c r="AB107" s="120"/>
      <c r="AC107" s="120"/>
      <c r="AD107" s="120"/>
      <c r="AE107" s="120"/>
      <c r="AF107" s="120"/>
      <c r="AG107" s="120"/>
    </row>
    <row r="108" spans="2:33" x14ac:dyDescent="0.2">
      <c r="B108" s="136"/>
      <c r="C108" s="136"/>
      <c r="D108" s="136"/>
      <c r="E108" s="136"/>
      <c r="F108" s="136"/>
      <c r="G108" s="136" t="s">
        <v>161</v>
      </c>
      <c r="H108" s="204">
        <v>4</v>
      </c>
      <c r="I108" s="139" t="s">
        <v>90</v>
      </c>
      <c r="J108" s="141"/>
      <c r="K108" s="4"/>
      <c r="L108" s="110"/>
      <c r="M108" s="110"/>
      <c r="N108" s="109"/>
      <c r="O108" s="109"/>
      <c r="P108" s="109"/>
      <c r="Q108" s="109"/>
      <c r="R108" s="109"/>
      <c r="S108" s="109"/>
      <c r="T108" s="120"/>
      <c r="U108" s="120"/>
      <c r="V108" s="120"/>
      <c r="W108" s="120"/>
      <c r="X108" s="120"/>
      <c r="Y108" s="120"/>
      <c r="Z108" s="120"/>
      <c r="AA108" s="120"/>
      <c r="AB108" s="120"/>
      <c r="AC108" s="120"/>
      <c r="AD108" s="120"/>
      <c r="AE108" s="120"/>
      <c r="AF108" s="120"/>
      <c r="AG108" s="120"/>
    </row>
    <row r="109" spans="2:33" x14ac:dyDescent="0.2">
      <c r="B109" s="149"/>
      <c r="C109" s="149"/>
      <c r="D109" s="149"/>
      <c r="E109" s="149"/>
      <c r="F109" s="149"/>
      <c r="G109" s="149"/>
      <c r="H109" s="208"/>
      <c r="I109" s="208"/>
      <c r="J109" s="139"/>
      <c r="K109" s="7"/>
      <c r="L109" s="110"/>
      <c r="M109" s="110"/>
      <c r="N109" s="110"/>
      <c r="O109" s="110"/>
      <c r="P109" s="110"/>
      <c r="Q109" s="110"/>
      <c r="R109" s="109"/>
      <c r="S109" s="109"/>
      <c r="T109" s="120"/>
      <c r="U109" s="120"/>
      <c r="V109" s="120"/>
      <c r="W109" s="120"/>
      <c r="X109" s="120"/>
      <c r="Y109" s="120"/>
      <c r="Z109" s="120"/>
      <c r="AA109" s="120"/>
      <c r="AB109" s="120"/>
      <c r="AC109" s="120"/>
      <c r="AD109" s="120"/>
      <c r="AE109" s="120"/>
      <c r="AF109" s="120"/>
      <c r="AG109" s="120"/>
    </row>
    <row r="110" spans="2:33" ht="7.5" customHeight="1" x14ac:dyDescent="0.2">
      <c r="K110" s="7"/>
      <c r="L110" s="110"/>
      <c r="M110" s="110"/>
      <c r="N110" s="110"/>
      <c r="O110" s="110"/>
      <c r="P110" s="110"/>
      <c r="Q110" s="110"/>
      <c r="R110" s="109"/>
      <c r="S110" s="109"/>
      <c r="T110" s="120"/>
      <c r="U110" s="120"/>
      <c r="V110" s="120"/>
      <c r="W110" s="120"/>
      <c r="X110" s="120"/>
      <c r="Y110" s="120"/>
      <c r="Z110" s="120"/>
      <c r="AA110" s="120"/>
      <c r="AB110" s="120"/>
      <c r="AC110" s="120"/>
      <c r="AD110" s="120"/>
      <c r="AE110" s="120"/>
      <c r="AF110" s="120"/>
      <c r="AG110" s="120"/>
    </row>
    <row r="111" spans="2:33" ht="18" x14ac:dyDescent="0.25">
      <c r="B111" s="325"/>
      <c r="C111" s="325" t="s">
        <v>859</v>
      </c>
      <c r="D111" s="326"/>
      <c r="E111" s="326"/>
      <c r="F111" s="326"/>
      <c r="G111" s="326"/>
      <c r="H111" s="327"/>
      <c r="I111" s="327"/>
      <c r="J111" s="327"/>
      <c r="L111" s="110"/>
      <c r="M111" s="110"/>
      <c r="N111" s="109"/>
      <c r="O111" s="109"/>
      <c r="P111" s="109"/>
      <c r="Q111" s="109"/>
      <c r="R111" s="109"/>
      <c r="S111" s="109"/>
      <c r="T111" s="120"/>
      <c r="U111" s="120"/>
      <c r="V111" s="120"/>
      <c r="W111" s="120"/>
      <c r="X111" s="120"/>
      <c r="Y111" s="120"/>
      <c r="Z111" s="120"/>
      <c r="AA111" s="120"/>
      <c r="AB111" s="120"/>
      <c r="AC111" s="120"/>
      <c r="AD111" s="120"/>
      <c r="AE111" s="120"/>
      <c r="AF111" s="120"/>
      <c r="AG111" s="120"/>
    </row>
    <row r="112" spans="2:33" ht="5.25" customHeight="1" x14ac:dyDescent="0.25">
      <c r="B112" s="216"/>
      <c r="C112" s="216"/>
      <c r="D112" s="216"/>
      <c r="E112" s="216"/>
      <c r="F112" s="216"/>
      <c r="G112" s="216"/>
      <c r="H112" s="217"/>
      <c r="I112" s="217"/>
      <c r="J112" s="218"/>
      <c r="L112" s="110"/>
      <c r="M112" s="110"/>
      <c r="N112" s="109"/>
      <c r="O112" s="109"/>
      <c r="P112" s="109"/>
      <c r="Q112" s="109"/>
      <c r="R112" s="109"/>
      <c r="S112" s="109"/>
      <c r="T112" s="120"/>
      <c r="U112" s="120"/>
      <c r="V112" s="120"/>
      <c r="W112" s="120"/>
      <c r="X112" s="120"/>
      <c r="Y112" s="120"/>
      <c r="Z112" s="120"/>
      <c r="AA112" s="120"/>
      <c r="AB112" s="120"/>
      <c r="AC112" s="120"/>
      <c r="AD112" s="120"/>
      <c r="AE112" s="120"/>
      <c r="AF112" s="120"/>
      <c r="AG112" s="120"/>
    </row>
    <row r="113" spans="2:44" x14ac:dyDescent="0.2">
      <c r="B113" s="146"/>
      <c r="C113" s="146" t="s">
        <v>2605</v>
      </c>
      <c r="D113" s="8"/>
      <c r="E113" s="8"/>
      <c r="F113" s="8"/>
      <c r="G113" s="136" t="s">
        <v>99</v>
      </c>
      <c r="H113" s="138">
        <f>H16*(H38/H37)*(H40/100)</f>
        <v>1010.6578352941181</v>
      </c>
      <c r="I113" s="139" t="s">
        <v>1979</v>
      </c>
      <c r="J113" s="10"/>
      <c r="L113" s="110"/>
      <c r="M113" s="110"/>
      <c r="N113" s="109"/>
      <c r="O113" s="109"/>
      <c r="P113" s="109"/>
      <c r="Q113" s="109"/>
      <c r="R113" s="109"/>
      <c r="S113" s="109"/>
      <c r="T113" s="120"/>
      <c r="U113" s="120"/>
      <c r="V113" s="120"/>
      <c r="W113" s="120"/>
      <c r="X113" s="120"/>
      <c r="Y113" s="120"/>
      <c r="Z113" s="120"/>
      <c r="AA113" s="120"/>
      <c r="AB113" s="120"/>
      <c r="AC113" s="120"/>
      <c r="AD113" s="120"/>
      <c r="AE113" s="120"/>
      <c r="AF113" s="120"/>
      <c r="AG113" s="120"/>
    </row>
    <row r="114" spans="2:44" x14ac:dyDescent="0.2">
      <c r="B114" s="8"/>
      <c r="C114" s="8"/>
      <c r="D114" s="8"/>
      <c r="E114" s="8"/>
      <c r="F114" s="8"/>
      <c r="G114" s="136" t="s">
        <v>2645</v>
      </c>
      <c r="H114" s="176">
        <f>H113*H37</f>
        <v>6063.9470117647088</v>
      </c>
      <c r="I114" s="139" t="s">
        <v>1978</v>
      </c>
      <c r="J114" s="10"/>
      <c r="L114" s="110"/>
      <c r="M114" s="110"/>
      <c r="N114" s="109"/>
      <c r="O114" s="109"/>
      <c r="P114" s="109"/>
      <c r="Q114" s="109"/>
      <c r="R114" s="109"/>
      <c r="S114" s="109"/>
      <c r="T114" s="120"/>
      <c r="U114" s="120"/>
      <c r="V114" s="120"/>
      <c r="W114" s="120"/>
      <c r="X114" s="120"/>
      <c r="Y114" s="120"/>
      <c r="Z114" s="120"/>
      <c r="AA114" s="120"/>
      <c r="AB114" s="120"/>
      <c r="AC114" s="120"/>
      <c r="AD114" s="120"/>
      <c r="AE114" s="120"/>
      <c r="AF114" s="120"/>
      <c r="AG114" s="120"/>
    </row>
    <row r="115" spans="2:44" x14ac:dyDescent="0.2">
      <c r="B115" s="8"/>
      <c r="C115" s="8"/>
      <c r="D115" s="8"/>
      <c r="E115" s="8"/>
      <c r="F115" s="8"/>
      <c r="G115" s="137" t="s">
        <v>790</v>
      </c>
      <c r="H115" s="140">
        <f>Berechnungen!D37</f>
        <v>142883.97221409189</v>
      </c>
      <c r="I115" s="141" t="s">
        <v>88</v>
      </c>
      <c r="J115" s="10"/>
      <c r="L115" s="110"/>
      <c r="M115" s="110"/>
      <c r="N115" s="109"/>
      <c r="O115" s="109"/>
      <c r="P115" s="109"/>
      <c r="Q115" s="109"/>
      <c r="R115" s="109"/>
      <c r="S115" s="109"/>
      <c r="T115" s="120"/>
      <c r="U115" s="120"/>
      <c r="V115" s="120"/>
      <c r="W115" s="120"/>
      <c r="X115" s="120"/>
      <c r="Y115" s="120"/>
      <c r="Z115" s="120"/>
      <c r="AA115" s="120"/>
      <c r="AB115" s="120"/>
      <c r="AC115" s="120"/>
      <c r="AD115" s="120"/>
      <c r="AE115" s="120"/>
      <c r="AF115" s="120"/>
      <c r="AG115" s="120"/>
    </row>
    <row r="116" spans="2:44" ht="5.25" customHeight="1" x14ac:dyDescent="0.2">
      <c r="B116" s="8"/>
      <c r="C116" s="8"/>
      <c r="D116" s="8"/>
      <c r="E116" s="8"/>
      <c r="F116" s="8"/>
      <c r="G116" s="8"/>
      <c r="H116" s="234"/>
      <c r="I116" s="235"/>
      <c r="J116" s="10"/>
      <c r="L116" s="110"/>
      <c r="M116" s="110"/>
      <c r="N116" s="109"/>
      <c r="O116" s="109"/>
      <c r="P116" s="109"/>
      <c r="Q116" s="109"/>
      <c r="R116" s="109"/>
      <c r="S116" s="109"/>
      <c r="T116" s="120"/>
      <c r="U116" s="120"/>
      <c r="V116" s="120"/>
      <c r="W116" s="120"/>
      <c r="X116" s="120"/>
      <c r="Y116" s="120"/>
      <c r="Z116" s="120"/>
      <c r="AA116" s="120"/>
      <c r="AB116" s="120"/>
      <c r="AC116" s="120"/>
      <c r="AD116" s="120"/>
      <c r="AE116" s="120"/>
      <c r="AF116" s="120"/>
      <c r="AG116" s="120"/>
    </row>
    <row r="117" spans="2:44" ht="5.25" customHeight="1" x14ac:dyDescent="0.2">
      <c r="B117" s="170"/>
      <c r="C117" s="170"/>
      <c r="D117" s="170"/>
      <c r="E117" s="170"/>
      <c r="F117" s="170"/>
      <c r="G117" s="170"/>
      <c r="H117" s="171"/>
      <c r="I117" s="172"/>
      <c r="J117" s="213"/>
      <c r="L117" s="110"/>
      <c r="M117" s="110"/>
      <c r="N117" s="109"/>
      <c r="O117" s="109"/>
      <c r="P117" s="109"/>
      <c r="Q117" s="109"/>
      <c r="R117" s="109"/>
      <c r="S117" s="109"/>
      <c r="T117" s="120"/>
      <c r="U117" s="120"/>
      <c r="V117" s="120"/>
      <c r="W117" s="120"/>
      <c r="X117" s="120"/>
      <c r="Y117" s="120"/>
      <c r="Z117" s="120"/>
      <c r="AA117" s="120"/>
      <c r="AB117" s="120"/>
      <c r="AC117" s="120"/>
      <c r="AD117" s="120"/>
      <c r="AE117" s="120"/>
      <c r="AF117" s="120"/>
      <c r="AG117" s="120"/>
    </row>
    <row r="118" spans="2:44" x14ac:dyDescent="0.2">
      <c r="B118" s="147"/>
      <c r="C118" s="147" t="s">
        <v>2606</v>
      </c>
      <c r="D118" s="10"/>
      <c r="E118" s="10"/>
      <c r="F118" s="84"/>
      <c r="G118" s="137" t="s">
        <v>1551</v>
      </c>
      <c r="H118" s="140">
        <f>H94</f>
        <v>7230</v>
      </c>
      <c r="I118" s="141" t="s">
        <v>1621</v>
      </c>
      <c r="J118" s="214"/>
      <c r="L118" s="110"/>
      <c r="M118" s="110"/>
      <c r="N118" s="109"/>
      <c r="O118" s="109"/>
      <c r="P118" s="109"/>
      <c r="Q118" s="109"/>
      <c r="R118" s="109"/>
      <c r="S118" s="109"/>
      <c r="T118" s="120"/>
      <c r="U118" s="120"/>
      <c r="V118" s="120"/>
      <c r="W118" s="120"/>
      <c r="X118" s="120"/>
      <c r="Y118" s="120"/>
      <c r="Z118" s="120"/>
      <c r="AA118" s="120"/>
      <c r="AB118" s="120"/>
      <c r="AC118" s="120"/>
      <c r="AD118" s="120"/>
      <c r="AE118" s="120"/>
      <c r="AF118" s="120"/>
      <c r="AG118" s="120"/>
    </row>
    <row r="119" spans="2:44" x14ac:dyDescent="0.2">
      <c r="B119" s="10"/>
      <c r="C119" s="10"/>
      <c r="D119" s="10"/>
      <c r="E119" s="10"/>
      <c r="F119" s="84"/>
      <c r="G119" s="137" t="s">
        <v>36</v>
      </c>
      <c r="H119" s="140">
        <f>Berechnungen!$L$40</f>
        <v>7972.0712638418463</v>
      </c>
      <c r="I119" s="140" t="s">
        <v>1621</v>
      </c>
      <c r="J119" s="214"/>
      <c r="L119" s="110"/>
      <c r="M119" s="110"/>
      <c r="N119" s="109"/>
      <c r="O119" s="109"/>
      <c r="P119" s="109"/>
      <c r="Q119" s="109"/>
      <c r="R119" s="109"/>
      <c r="S119" s="109"/>
      <c r="T119" s="120"/>
      <c r="U119" s="120"/>
      <c r="V119" s="120"/>
      <c r="W119" s="120"/>
      <c r="X119" s="120"/>
      <c r="Y119" s="120"/>
      <c r="Z119" s="120"/>
      <c r="AA119" s="120"/>
      <c r="AB119" s="120"/>
      <c r="AC119" s="120"/>
      <c r="AD119" s="120"/>
      <c r="AE119" s="120"/>
      <c r="AF119" s="120"/>
      <c r="AG119" s="120"/>
    </row>
    <row r="120" spans="2:44" x14ac:dyDescent="0.2">
      <c r="B120" s="11"/>
      <c r="C120" s="11"/>
      <c r="D120" s="11"/>
      <c r="E120" s="11"/>
      <c r="F120" s="84"/>
      <c r="G120" s="137" t="s">
        <v>2364</v>
      </c>
      <c r="H120" s="142">
        <f>Berechnungen!M37</f>
        <v>9</v>
      </c>
      <c r="I120" s="140" t="s">
        <v>2365</v>
      </c>
      <c r="J120" s="214"/>
      <c r="L120" s="110"/>
      <c r="M120" s="110"/>
      <c r="N120" s="109"/>
      <c r="O120" s="109"/>
      <c r="P120" s="109"/>
      <c r="Q120" s="109"/>
      <c r="R120" s="109"/>
      <c r="S120" s="109"/>
      <c r="T120" s="120"/>
      <c r="U120" s="120"/>
      <c r="V120" s="120"/>
      <c r="W120" s="120"/>
      <c r="X120" s="120"/>
      <c r="Y120" s="120"/>
      <c r="Z120" s="120"/>
      <c r="AA120" s="120"/>
      <c r="AB120" s="120"/>
      <c r="AC120" s="120"/>
      <c r="AD120" s="120"/>
      <c r="AE120" s="120"/>
      <c r="AF120" s="120"/>
      <c r="AG120" s="120"/>
    </row>
    <row r="121" spans="2:44" ht="5.25" customHeight="1" x14ac:dyDescent="0.2">
      <c r="B121" s="173"/>
      <c r="C121" s="173"/>
      <c r="D121" s="173"/>
      <c r="E121" s="173"/>
      <c r="F121" s="173"/>
      <c r="G121" s="174"/>
      <c r="H121" s="175"/>
      <c r="I121" s="175"/>
      <c r="J121" s="169"/>
      <c r="L121" s="110"/>
      <c r="M121" s="110"/>
      <c r="N121" s="109"/>
      <c r="O121" s="109"/>
      <c r="P121" s="109"/>
      <c r="Q121" s="109"/>
      <c r="R121" s="109"/>
      <c r="S121" s="109"/>
    </row>
    <row r="122" spans="2:44" ht="5.25" customHeight="1" x14ac:dyDescent="0.2">
      <c r="B122" s="11"/>
      <c r="C122" s="11"/>
      <c r="D122" s="11"/>
      <c r="E122" s="11"/>
      <c r="F122" s="11"/>
      <c r="G122" s="12"/>
      <c r="H122" s="140"/>
      <c r="I122" s="140"/>
      <c r="J122" s="214"/>
      <c r="L122" s="110"/>
      <c r="M122" s="110"/>
      <c r="N122" s="109"/>
      <c r="O122" s="109"/>
      <c r="P122" s="109"/>
      <c r="Q122" s="109"/>
      <c r="R122" s="109"/>
      <c r="S122" s="109"/>
    </row>
    <row r="123" spans="2:44" ht="14.25" x14ac:dyDescent="0.25">
      <c r="B123" s="147"/>
      <c r="C123" s="147" t="s">
        <v>2642</v>
      </c>
      <c r="D123" s="10"/>
      <c r="E123" s="10"/>
      <c r="F123" s="10"/>
      <c r="G123" s="137" t="s">
        <v>2643</v>
      </c>
      <c r="H123" s="143">
        <f>ROUND(H115*0.45,0)</f>
        <v>64298</v>
      </c>
      <c r="I123" s="141" t="s">
        <v>2644</v>
      </c>
      <c r="J123" s="214"/>
      <c r="L123" s="110"/>
      <c r="M123" s="110"/>
      <c r="N123" s="109"/>
      <c r="O123" s="109"/>
      <c r="P123" s="109"/>
      <c r="Q123" s="109"/>
      <c r="R123" s="109"/>
      <c r="S123" s="109"/>
    </row>
    <row r="124" spans="2:44" ht="5.25" customHeight="1" x14ac:dyDescent="0.2">
      <c r="B124" s="214"/>
      <c r="C124" s="214"/>
      <c r="D124" s="214"/>
      <c r="E124" s="214"/>
      <c r="F124" s="214"/>
      <c r="G124" s="10"/>
      <c r="H124" s="215"/>
      <c r="I124" s="214"/>
      <c r="J124" s="214"/>
      <c r="L124" s="110"/>
      <c r="M124" s="110"/>
      <c r="N124" s="109"/>
      <c r="O124" s="109"/>
      <c r="P124" s="109"/>
      <c r="Q124" s="109"/>
      <c r="R124" s="109"/>
      <c r="S124" s="109"/>
    </row>
    <row r="125" spans="2:44" x14ac:dyDescent="0.2">
      <c r="C125" s="100"/>
      <c r="D125" s="100"/>
      <c r="E125" s="100"/>
      <c r="F125" s="100"/>
      <c r="G125" s="100"/>
      <c r="H125" s="101"/>
      <c r="I125" s="100"/>
      <c r="J125" s="100"/>
      <c r="K125" s="100"/>
      <c r="L125" s="100"/>
      <c r="M125" s="101"/>
      <c r="N125" s="100"/>
      <c r="O125" s="100"/>
      <c r="P125" s="100"/>
      <c r="Q125" s="100"/>
      <c r="R125" s="100"/>
      <c r="S125" s="100"/>
      <c r="T125" s="100"/>
      <c r="U125" s="100"/>
      <c r="V125" s="100"/>
      <c r="W125" s="100"/>
      <c r="X125" s="100"/>
      <c r="Y125" s="100"/>
      <c r="Z125" s="100"/>
      <c r="AA125" s="100"/>
      <c r="AB125" s="100"/>
      <c r="AC125" s="100"/>
      <c r="AD125" s="100"/>
      <c r="AE125" s="100"/>
      <c r="AF125" s="100"/>
      <c r="AG125" s="100"/>
      <c r="AH125" s="100"/>
      <c r="AI125" s="100"/>
      <c r="AJ125" s="100"/>
      <c r="AK125" s="100"/>
      <c r="AL125" s="100"/>
      <c r="AM125" s="100"/>
      <c r="AN125" s="100"/>
      <c r="AO125" s="100"/>
      <c r="AP125" s="100"/>
      <c r="AQ125" s="100"/>
      <c r="AR125" s="100"/>
    </row>
    <row r="126" spans="2:44" ht="15" x14ac:dyDescent="0.25">
      <c r="C126" s="402" t="s">
        <v>2324</v>
      </c>
      <c r="D126" s="403"/>
      <c r="E126" s="403"/>
      <c r="F126" s="403"/>
      <c r="G126" s="403"/>
      <c r="H126" s="404"/>
      <c r="I126" s="403"/>
      <c r="J126" s="403"/>
      <c r="K126" s="403"/>
      <c r="L126" s="403"/>
      <c r="M126" s="404"/>
      <c r="N126" s="403"/>
      <c r="O126" s="100"/>
      <c r="P126" s="100"/>
      <c r="Q126" s="100"/>
      <c r="R126" s="100"/>
      <c r="S126" s="100"/>
      <c r="T126" s="100"/>
      <c r="U126" s="100"/>
      <c r="V126" s="100"/>
      <c r="W126" s="100"/>
      <c r="X126" s="100"/>
      <c r="Y126" s="100"/>
      <c r="Z126" s="100"/>
      <c r="AA126" s="100"/>
      <c r="AB126" s="100"/>
      <c r="AC126" s="100"/>
      <c r="AD126" s="100"/>
      <c r="AE126" s="100"/>
      <c r="AF126" s="100"/>
      <c r="AG126" s="100"/>
      <c r="AH126" s="100"/>
      <c r="AI126" s="100"/>
      <c r="AJ126" s="100"/>
      <c r="AK126" s="100"/>
      <c r="AL126" s="100"/>
      <c r="AM126" s="100"/>
      <c r="AN126" s="100"/>
      <c r="AO126" s="100"/>
      <c r="AP126" s="100"/>
      <c r="AQ126" s="100"/>
      <c r="AR126" s="100"/>
    </row>
    <row r="127" spans="2:44" x14ac:dyDescent="0.2">
      <c r="C127" s="506" t="s">
        <v>2646</v>
      </c>
      <c r="D127" s="507"/>
      <c r="E127" s="507"/>
      <c r="F127" s="507"/>
      <c r="G127" s="507"/>
      <c r="H127" s="507"/>
      <c r="I127" s="507"/>
      <c r="J127" s="507"/>
      <c r="K127" s="507"/>
      <c r="L127" s="507"/>
      <c r="M127" s="507"/>
      <c r="N127" s="507"/>
      <c r="O127" s="100"/>
      <c r="P127" s="100"/>
      <c r="Q127" s="100"/>
      <c r="R127" s="100"/>
      <c r="S127" s="100"/>
      <c r="T127" s="100"/>
      <c r="U127" s="100"/>
      <c r="V127" s="100"/>
      <c r="W127" s="100"/>
      <c r="X127" s="100"/>
      <c r="Y127" s="100"/>
      <c r="Z127" s="100"/>
      <c r="AA127" s="100"/>
      <c r="AB127" s="100"/>
      <c r="AC127" s="100"/>
      <c r="AD127" s="100"/>
      <c r="AE127" s="100"/>
      <c r="AF127" s="100"/>
      <c r="AG127" s="100"/>
      <c r="AH127" s="100"/>
      <c r="AI127" s="100"/>
      <c r="AJ127" s="100"/>
      <c r="AK127" s="100"/>
      <c r="AL127" s="100"/>
      <c r="AM127" s="100"/>
      <c r="AN127" s="100"/>
      <c r="AO127" s="100"/>
      <c r="AP127" s="100"/>
      <c r="AQ127" s="100"/>
      <c r="AR127" s="100"/>
    </row>
    <row r="128" spans="2:44" ht="8.4499999999999993" customHeight="1" x14ac:dyDescent="0.2">
      <c r="C128" s="505"/>
      <c r="D128" s="505"/>
      <c r="E128" s="505"/>
      <c r="F128" s="505"/>
      <c r="G128" s="505"/>
      <c r="H128" s="505"/>
      <c r="I128" s="505"/>
      <c r="J128" s="505"/>
      <c r="K128" s="505"/>
      <c r="L128" s="505"/>
      <c r="M128" s="505"/>
      <c r="N128" s="505"/>
      <c r="O128" s="505"/>
      <c r="P128" s="505"/>
      <c r="Q128" s="505"/>
      <c r="R128" s="505"/>
      <c r="S128" s="505"/>
      <c r="T128" s="100"/>
      <c r="U128" s="100"/>
      <c r="V128" s="100"/>
      <c r="W128" s="100"/>
      <c r="X128" s="100"/>
      <c r="Y128" s="100"/>
      <c r="Z128" s="100"/>
      <c r="AA128" s="100"/>
      <c r="AB128" s="100"/>
      <c r="AC128" s="100"/>
      <c r="AD128" s="100"/>
      <c r="AE128" s="100"/>
      <c r="AF128" s="100"/>
      <c r="AG128" s="100"/>
      <c r="AH128" s="100"/>
      <c r="AI128" s="100"/>
      <c r="AJ128" s="100"/>
      <c r="AK128" s="100"/>
      <c r="AL128" s="100"/>
      <c r="AM128" s="100"/>
      <c r="AN128" s="100"/>
      <c r="AO128" s="100"/>
      <c r="AP128" s="100"/>
      <c r="AQ128" s="100"/>
      <c r="AR128" s="100"/>
    </row>
    <row r="129" spans="2:44" x14ac:dyDescent="0.2">
      <c r="B129" s="100"/>
      <c r="C129" s="4"/>
      <c r="T129" s="100"/>
      <c r="U129" s="100"/>
      <c r="V129" s="100"/>
      <c r="W129" s="100"/>
      <c r="X129" s="100"/>
      <c r="Y129" s="100"/>
      <c r="Z129" s="100"/>
      <c r="AA129" s="100"/>
      <c r="AB129" s="100"/>
      <c r="AC129" s="100"/>
      <c r="AD129" s="100"/>
      <c r="AE129" s="100"/>
      <c r="AF129" s="100"/>
      <c r="AG129" s="100"/>
      <c r="AH129" s="100"/>
      <c r="AI129" s="100"/>
      <c r="AJ129" s="100"/>
      <c r="AK129" s="100"/>
      <c r="AL129" s="100"/>
      <c r="AM129" s="100"/>
      <c r="AN129" s="100"/>
      <c r="AO129" s="100"/>
      <c r="AP129" s="100"/>
      <c r="AQ129" s="100"/>
      <c r="AR129" s="100"/>
    </row>
    <row r="130" spans="2:44" s="78" customFormat="1" x14ac:dyDescent="0.2">
      <c r="B130" s="100"/>
      <c r="C130" s="508"/>
      <c r="D130" s="509"/>
      <c r="E130" s="509"/>
      <c r="F130" s="509"/>
      <c r="G130" s="509"/>
      <c r="H130" s="509"/>
      <c r="I130" s="509"/>
      <c r="J130" s="509"/>
      <c r="K130" s="509"/>
      <c r="L130" s="509"/>
      <c r="M130" s="509"/>
      <c r="N130" s="509"/>
      <c r="O130" s="509"/>
      <c r="P130" s="509"/>
      <c r="Q130" s="509"/>
      <c r="R130" s="509"/>
      <c r="S130" s="509"/>
      <c r="T130" s="135"/>
      <c r="U130" s="135"/>
      <c r="V130" s="135"/>
      <c r="W130" s="135"/>
      <c r="X130" s="135"/>
      <c r="Y130" s="135"/>
      <c r="Z130" s="293"/>
      <c r="AA130" s="293"/>
      <c r="AB130" s="293"/>
      <c r="AC130" s="293"/>
      <c r="AD130" s="293"/>
      <c r="AE130" s="293"/>
      <c r="AF130" s="293"/>
      <c r="AG130" s="293"/>
      <c r="AH130" s="293"/>
      <c r="AI130" s="293"/>
      <c r="AJ130" s="293"/>
      <c r="AK130" s="293"/>
      <c r="AL130" s="293"/>
      <c r="AM130" s="293"/>
      <c r="AN130" s="293"/>
      <c r="AO130" s="293"/>
      <c r="AP130" s="293"/>
      <c r="AQ130" s="293"/>
      <c r="AR130" s="293"/>
    </row>
    <row r="131" spans="2:44" s="78" customFormat="1" ht="27" customHeight="1" x14ac:dyDescent="0.2">
      <c r="B131" s="100"/>
      <c r="C131" s="510"/>
      <c r="D131" s="511"/>
      <c r="E131" s="511"/>
      <c r="F131" s="511"/>
      <c r="G131" s="511"/>
      <c r="H131" s="511"/>
      <c r="I131" s="511"/>
      <c r="J131" s="511"/>
      <c r="K131" s="511"/>
      <c r="L131" s="511"/>
      <c r="M131" s="511"/>
      <c r="N131" s="511"/>
      <c r="O131" s="511"/>
      <c r="P131" s="511"/>
      <c r="Q131" s="511"/>
      <c r="R131" s="511"/>
      <c r="S131" s="511"/>
      <c r="T131" s="102"/>
      <c r="U131" s="102"/>
      <c r="V131" s="102"/>
      <c r="W131" s="102"/>
      <c r="X131" s="135"/>
      <c r="Y131" s="135"/>
      <c r="Z131" s="293"/>
      <c r="AA131" s="293"/>
      <c r="AB131" s="293"/>
      <c r="AC131" s="293"/>
      <c r="AD131" s="293"/>
      <c r="AE131" s="293"/>
      <c r="AF131" s="293"/>
      <c r="AG131" s="293"/>
      <c r="AH131" s="293"/>
      <c r="AI131" s="293"/>
      <c r="AJ131" s="293"/>
      <c r="AK131" s="293"/>
      <c r="AL131" s="293"/>
      <c r="AM131" s="293"/>
      <c r="AN131" s="293"/>
      <c r="AO131" s="293"/>
      <c r="AP131" s="293"/>
      <c r="AQ131" s="293"/>
      <c r="AR131" s="293"/>
    </row>
    <row r="132" spans="2:44" s="78" customFormat="1" x14ac:dyDescent="0.2">
      <c r="B132" s="100"/>
      <c r="C132" s="102"/>
      <c r="D132" s="102"/>
      <c r="E132" s="102"/>
      <c r="F132" s="102"/>
      <c r="G132" s="102"/>
      <c r="H132" s="408"/>
      <c r="I132" s="102"/>
      <c r="J132" s="102"/>
      <c r="K132" s="102"/>
      <c r="L132" s="102"/>
      <c r="M132" s="408"/>
      <c r="N132" s="102"/>
      <c r="O132" s="102"/>
      <c r="P132" s="102"/>
      <c r="Q132" s="102"/>
      <c r="R132" s="102"/>
      <c r="S132" s="102"/>
      <c r="T132" s="102"/>
      <c r="U132" s="102"/>
      <c r="V132" s="102"/>
      <c r="W132" s="102"/>
      <c r="X132" s="102"/>
      <c r="Y132" s="135"/>
      <c r="Z132" s="293"/>
      <c r="AA132" s="293"/>
      <c r="AB132" s="293"/>
      <c r="AC132" s="293"/>
      <c r="AD132" s="293"/>
      <c r="AE132" s="293"/>
      <c r="AF132" s="293"/>
      <c r="AG132" s="293"/>
      <c r="AH132" s="293"/>
      <c r="AI132" s="293"/>
      <c r="AJ132" s="293"/>
      <c r="AK132" s="293"/>
      <c r="AL132" s="293"/>
      <c r="AM132" s="293"/>
      <c r="AN132" s="293"/>
      <c r="AO132" s="293"/>
      <c r="AP132" s="293"/>
      <c r="AQ132" s="293"/>
      <c r="AR132" s="293"/>
    </row>
    <row r="133" spans="2:44" s="78" customFormat="1" x14ac:dyDescent="0.2">
      <c r="B133" s="100"/>
      <c r="C133" s="102"/>
      <c r="D133" s="102"/>
      <c r="E133" s="102"/>
      <c r="F133" s="102"/>
      <c r="G133" s="102"/>
      <c r="H133" s="408"/>
      <c r="I133" s="102"/>
      <c r="J133" s="102"/>
      <c r="K133" s="102"/>
      <c r="L133" s="102"/>
      <c r="M133" s="408"/>
      <c r="N133" s="102"/>
      <c r="O133" s="102"/>
      <c r="P133" s="102"/>
      <c r="Q133" s="102"/>
      <c r="R133" s="102"/>
      <c r="S133" s="102"/>
      <c r="T133" s="102"/>
      <c r="U133" s="102"/>
      <c r="V133" s="102"/>
      <c r="W133" s="102"/>
      <c r="X133" s="102"/>
      <c r="Y133" s="135"/>
      <c r="Z133" s="293"/>
      <c r="AA133" s="293"/>
      <c r="AB133" s="293"/>
      <c r="AC133" s="293"/>
      <c r="AD133" s="293"/>
      <c r="AE133" s="293"/>
      <c r="AF133" s="293"/>
      <c r="AG133" s="293"/>
      <c r="AH133" s="293"/>
      <c r="AI133" s="293"/>
      <c r="AJ133" s="293"/>
      <c r="AK133" s="293"/>
      <c r="AL133" s="293"/>
      <c r="AM133" s="293"/>
      <c r="AN133" s="293"/>
      <c r="AO133" s="293"/>
      <c r="AP133" s="293"/>
      <c r="AQ133" s="293"/>
      <c r="AR133" s="293"/>
    </row>
    <row r="134" spans="2:44" s="78" customFormat="1" x14ac:dyDescent="0.2">
      <c r="B134" s="100"/>
      <c r="C134" s="102"/>
      <c r="D134" s="102"/>
      <c r="E134" s="102"/>
      <c r="F134" s="102"/>
      <c r="G134" s="102"/>
      <c r="H134" s="408"/>
      <c r="I134" s="102"/>
      <c r="J134" s="102"/>
      <c r="K134" s="102"/>
      <c r="L134" s="102"/>
      <c r="M134" s="408"/>
      <c r="N134" s="102"/>
      <c r="O134" s="102"/>
      <c r="P134" s="102"/>
      <c r="Q134" s="102"/>
      <c r="R134" s="102"/>
      <c r="S134" s="102"/>
      <c r="T134" s="102"/>
      <c r="U134" s="102"/>
      <c r="V134" s="102"/>
      <c r="W134" s="102"/>
      <c r="X134" s="102"/>
      <c r="Y134" s="135"/>
      <c r="Z134" s="293"/>
      <c r="AA134" s="293"/>
      <c r="AB134" s="293"/>
      <c r="AC134" s="293"/>
      <c r="AD134" s="293"/>
      <c r="AE134" s="293"/>
      <c r="AF134" s="293"/>
      <c r="AG134" s="293"/>
      <c r="AH134" s="293"/>
      <c r="AI134" s="293"/>
      <c r="AJ134" s="293"/>
      <c r="AK134" s="293"/>
      <c r="AL134" s="293"/>
      <c r="AM134" s="293"/>
      <c r="AN134" s="293"/>
      <c r="AO134" s="293"/>
      <c r="AP134" s="293"/>
      <c r="AQ134" s="293"/>
      <c r="AR134" s="293"/>
    </row>
    <row r="135" spans="2:44" s="78" customFormat="1" x14ac:dyDescent="0.2">
      <c r="B135" s="100"/>
      <c r="C135" s="102"/>
      <c r="D135" s="102"/>
      <c r="E135" s="102"/>
      <c r="F135" s="102"/>
      <c r="G135" s="102"/>
      <c r="H135" s="408"/>
      <c r="I135" s="102"/>
      <c r="J135" s="102"/>
      <c r="K135" s="102"/>
      <c r="L135" s="102"/>
      <c r="M135" s="408"/>
      <c r="N135" s="102"/>
      <c r="O135" s="102"/>
      <c r="P135" s="102"/>
      <c r="Q135" s="102"/>
      <c r="R135" s="102"/>
      <c r="S135" s="102"/>
      <c r="T135" s="102"/>
      <c r="U135" s="102"/>
      <c r="V135" s="102"/>
      <c r="W135" s="102"/>
      <c r="X135" s="102"/>
      <c r="Y135" s="102"/>
      <c r="Z135" s="100"/>
      <c r="AA135" s="100"/>
      <c r="AB135" s="100"/>
      <c r="AC135" s="293"/>
      <c r="AD135" s="293"/>
      <c r="AE135" s="293"/>
      <c r="AF135" s="293"/>
      <c r="AG135" s="293"/>
      <c r="AH135" s="293"/>
      <c r="AI135" s="293"/>
      <c r="AJ135" s="293"/>
      <c r="AK135" s="293"/>
      <c r="AL135" s="293"/>
      <c r="AM135" s="293"/>
      <c r="AN135" s="293"/>
      <c r="AO135" s="293"/>
      <c r="AP135" s="293"/>
      <c r="AQ135" s="293"/>
      <c r="AR135" s="293"/>
    </row>
    <row r="136" spans="2:44" s="78" customFormat="1" x14ac:dyDescent="0.2">
      <c r="B136" s="100"/>
      <c r="C136" s="102"/>
      <c r="D136" s="102"/>
      <c r="E136" s="102"/>
      <c r="F136" s="102"/>
      <c r="G136" s="102"/>
      <c r="H136" s="408"/>
      <c r="I136" s="102"/>
      <c r="J136" s="102"/>
      <c r="K136" s="102"/>
      <c r="L136" s="102"/>
      <c r="M136" s="408"/>
      <c r="N136" s="102"/>
      <c r="O136" s="102"/>
      <c r="P136" s="102"/>
      <c r="Q136" s="102"/>
      <c r="R136" s="102"/>
      <c r="S136" s="102"/>
      <c r="T136" s="102"/>
      <c r="U136" s="102"/>
      <c r="V136" s="102"/>
      <c r="W136" s="102"/>
      <c r="X136" s="102"/>
      <c r="Y136" s="102"/>
      <c r="Z136" s="100"/>
      <c r="AA136" s="100"/>
      <c r="AB136" s="100"/>
      <c r="AC136" s="293"/>
      <c r="AD136" s="293"/>
      <c r="AE136" s="293"/>
      <c r="AF136" s="293"/>
      <c r="AG136" s="293"/>
      <c r="AH136" s="293"/>
      <c r="AI136" s="293"/>
      <c r="AJ136" s="293"/>
      <c r="AK136" s="293"/>
      <c r="AL136" s="293"/>
      <c r="AM136" s="293"/>
      <c r="AN136" s="293"/>
      <c r="AO136" s="293"/>
      <c r="AP136" s="293"/>
      <c r="AQ136" s="293"/>
      <c r="AR136" s="293"/>
    </row>
    <row r="137" spans="2:44" s="78" customFormat="1" x14ac:dyDescent="0.2">
      <c r="B137" s="100"/>
      <c r="C137" s="102"/>
      <c r="D137" s="102"/>
      <c r="E137" s="102"/>
      <c r="F137" s="102"/>
      <c r="G137" s="102"/>
      <c r="H137" s="408"/>
      <c r="I137" s="102"/>
      <c r="J137" s="102"/>
      <c r="K137" s="102"/>
      <c r="L137" s="102"/>
      <c r="M137" s="408"/>
      <c r="N137" s="102"/>
      <c r="O137" s="102"/>
      <c r="P137" s="102"/>
      <c r="Q137" s="102"/>
      <c r="R137" s="102"/>
      <c r="S137" s="102"/>
      <c r="T137" s="102"/>
      <c r="U137" s="102"/>
      <c r="V137" s="102"/>
      <c r="W137" s="102"/>
      <c r="X137" s="102"/>
      <c r="Y137" s="102"/>
      <c r="Z137" s="100"/>
      <c r="AA137" s="100"/>
      <c r="AB137" s="100"/>
      <c r="AC137" s="293"/>
      <c r="AD137" s="293"/>
      <c r="AE137" s="293"/>
      <c r="AF137" s="293"/>
      <c r="AG137" s="293"/>
      <c r="AH137" s="293"/>
      <c r="AI137" s="293"/>
      <c r="AJ137" s="293"/>
      <c r="AK137" s="293"/>
      <c r="AL137" s="293"/>
      <c r="AM137" s="293"/>
      <c r="AN137" s="293"/>
      <c r="AO137" s="293"/>
      <c r="AP137" s="293"/>
      <c r="AQ137" s="293"/>
      <c r="AR137" s="293"/>
    </row>
    <row r="138" spans="2:44" s="78" customFormat="1" x14ac:dyDescent="0.2">
      <c r="B138" s="100"/>
      <c r="C138" s="102"/>
      <c r="D138" s="102"/>
      <c r="E138" s="102"/>
      <c r="F138" s="102"/>
      <c r="G138" s="102"/>
      <c r="H138" s="408"/>
      <c r="I138" s="102"/>
      <c r="J138" s="102"/>
      <c r="K138" s="102"/>
      <c r="L138" s="102"/>
      <c r="M138" s="408"/>
      <c r="N138" s="102"/>
      <c r="O138" s="102"/>
      <c r="P138" s="102"/>
      <c r="Q138" s="102"/>
      <c r="R138" s="102"/>
      <c r="S138" s="102"/>
      <c r="T138" s="102"/>
      <c r="U138" s="102"/>
      <c r="V138" s="102"/>
      <c r="W138" s="102"/>
      <c r="X138" s="102"/>
      <c r="Y138" s="102"/>
      <c r="Z138" s="100"/>
      <c r="AA138" s="100"/>
      <c r="AB138" s="100"/>
      <c r="AC138" s="293"/>
      <c r="AD138" s="293"/>
      <c r="AE138" s="293"/>
      <c r="AF138" s="293"/>
      <c r="AG138" s="293"/>
      <c r="AH138" s="293"/>
      <c r="AI138" s="293"/>
      <c r="AJ138" s="293"/>
      <c r="AK138" s="293"/>
      <c r="AL138" s="293"/>
      <c r="AM138" s="293"/>
      <c r="AN138" s="293"/>
      <c r="AO138" s="293"/>
      <c r="AP138" s="293"/>
      <c r="AQ138" s="293"/>
      <c r="AR138" s="293"/>
    </row>
    <row r="139" spans="2:44" s="78" customFormat="1" x14ac:dyDescent="0.2">
      <c r="B139" s="100"/>
      <c r="C139" s="102"/>
      <c r="D139" s="102"/>
      <c r="E139" s="102"/>
      <c r="F139" s="102"/>
      <c r="G139" s="102"/>
      <c r="H139" s="408"/>
      <c r="I139" s="102"/>
      <c r="J139" s="102"/>
      <c r="K139" s="102"/>
      <c r="L139" s="102"/>
      <c r="M139" s="408"/>
      <c r="N139" s="102"/>
      <c r="O139" s="102"/>
      <c r="P139" s="102"/>
      <c r="Q139" s="102"/>
      <c r="R139" s="102"/>
      <c r="S139" s="102"/>
      <c r="T139" s="102"/>
      <c r="U139" s="102"/>
      <c r="V139" s="102"/>
      <c r="W139" s="102"/>
      <c r="X139" s="102"/>
      <c r="Y139" s="102"/>
      <c r="Z139" s="100"/>
      <c r="AA139" s="100"/>
      <c r="AB139" s="100"/>
      <c r="AC139" s="293"/>
      <c r="AD139" s="293"/>
      <c r="AE139" s="293"/>
      <c r="AF139" s="293"/>
      <c r="AG139" s="293"/>
      <c r="AH139" s="293"/>
      <c r="AI139" s="293"/>
      <c r="AJ139" s="293"/>
      <c r="AK139" s="293"/>
      <c r="AL139" s="293"/>
      <c r="AM139" s="293"/>
      <c r="AN139" s="293"/>
      <c r="AO139" s="293"/>
      <c r="AP139" s="293"/>
      <c r="AQ139" s="293"/>
      <c r="AR139" s="293"/>
    </row>
    <row r="140" spans="2:44" s="78" customFormat="1" x14ac:dyDescent="0.2">
      <c r="B140" s="100"/>
      <c r="C140" s="102"/>
      <c r="D140" s="102"/>
      <c r="E140" s="102"/>
      <c r="F140" s="102"/>
      <c r="G140" s="102"/>
      <c r="H140" s="408"/>
      <c r="I140" s="102"/>
      <c r="J140" s="102"/>
      <c r="K140" s="102"/>
      <c r="L140" s="102"/>
      <c r="M140" s="408"/>
      <c r="N140" s="102"/>
      <c r="O140" s="102"/>
      <c r="P140" s="102"/>
      <c r="Q140" s="102"/>
      <c r="R140" s="102"/>
      <c r="S140" s="102"/>
      <c r="T140" s="102"/>
      <c r="U140" s="102"/>
      <c r="V140" s="102"/>
      <c r="W140" s="102"/>
      <c r="X140" s="102"/>
      <c r="Y140" s="102"/>
      <c r="Z140" s="100"/>
      <c r="AA140" s="100"/>
      <c r="AB140" s="100"/>
      <c r="AC140" s="293"/>
      <c r="AD140" s="293"/>
      <c r="AE140" s="293"/>
      <c r="AF140" s="293"/>
      <c r="AG140" s="293"/>
      <c r="AH140" s="293"/>
      <c r="AI140" s="293"/>
      <c r="AJ140" s="293"/>
      <c r="AK140" s="293"/>
      <c r="AL140" s="293"/>
      <c r="AM140" s="293"/>
      <c r="AN140" s="293"/>
      <c r="AO140" s="293"/>
      <c r="AP140" s="293"/>
      <c r="AQ140" s="293"/>
      <c r="AR140" s="293"/>
    </row>
    <row r="141" spans="2:44" s="78" customFormat="1" x14ac:dyDescent="0.2">
      <c r="B141" s="100"/>
      <c r="C141" s="102"/>
      <c r="D141" s="102"/>
      <c r="E141" s="102"/>
      <c r="F141" s="102"/>
      <c r="G141" s="102"/>
      <c r="H141" s="102"/>
      <c r="I141" s="102"/>
      <c r="J141" s="102"/>
      <c r="K141" s="102"/>
      <c r="L141" s="102"/>
      <c r="M141" s="102"/>
      <c r="N141" s="102"/>
      <c r="O141" s="102"/>
      <c r="P141" s="102"/>
      <c r="Q141" s="102"/>
      <c r="R141" s="102"/>
      <c r="S141" s="102"/>
      <c r="T141" s="102"/>
      <c r="U141" s="102"/>
      <c r="V141" s="102"/>
      <c r="W141" s="102"/>
      <c r="X141" s="102"/>
      <c r="Y141" s="102"/>
      <c r="Z141" s="100"/>
      <c r="AA141" s="100"/>
      <c r="AB141" s="100"/>
      <c r="AC141" s="293"/>
      <c r="AD141" s="293"/>
      <c r="AE141" s="293"/>
      <c r="AF141" s="293"/>
      <c r="AG141" s="293"/>
      <c r="AH141" s="293"/>
      <c r="AI141" s="293"/>
      <c r="AJ141" s="293"/>
      <c r="AK141" s="293"/>
      <c r="AL141" s="293"/>
      <c r="AM141" s="293"/>
      <c r="AN141" s="293"/>
      <c r="AO141" s="293"/>
      <c r="AP141" s="293"/>
      <c r="AQ141" s="293"/>
      <c r="AR141" s="293"/>
    </row>
    <row r="142" spans="2:44" s="78" customFormat="1" x14ac:dyDescent="0.2">
      <c r="B142" s="100"/>
      <c r="C142" s="102"/>
      <c r="D142" s="102"/>
      <c r="E142" s="102"/>
      <c r="F142" s="102"/>
      <c r="G142" s="102"/>
      <c r="H142" s="102"/>
      <c r="I142" s="102"/>
      <c r="J142" s="102"/>
      <c r="K142" s="102"/>
      <c r="L142" s="102"/>
      <c r="M142" s="102"/>
      <c r="N142" s="102"/>
      <c r="O142" s="102"/>
      <c r="P142" s="102"/>
      <c r="Q142" s="102"/>
      <c r="R142" s="102"/>
      <c r="S142" s="102"/>
      <c r="T142" s="102"/>
      <c r="U142" s="102"/>
      <c r="V142" s="102"/>
      <c r="W142" s="102"/>
      <c r="X142" s="102"/>
      <c r="Y142" s="102"/>
      <c r="Z142" s="100"/>
      <c r="AA142" s="100"/>
      <c r="AB142" s="100"/>
      <c r="AC142" s="293"/>
      <c r="AD142" s="293"/>
      <c r="AE142" s="293"/>
      <c r="AF142" s="293"/>
      <c r="AG142" s="293"/>
      <c r="AH142" s="293"/>
      <c r="AI142" s="293"/>
      <c r="AJ142" s="293"/>
      <c r="AK142" s="293"/>
      <c r="AL142" s="293"/>
      <c r="AM142" s="293"/>
      <c r="AN142" s="293"/>
      <c r="AO142" s="293"/>
      <c r="AP142" s="293"/>
      <c r="AQ142" s="293"/>
      <c r="AR142" s="293"/>
    </row>
    <row r="143" spans="2:44" s="78" customFormat="1" x14ac:dyDescent="0.2">
      <c r="B143" s="100"/>
      <c r="C143" s="102"/>
      <c r="D143" s="102"/>
      <c r="E143" s="102"/>
      <c r="F143" s="102"/>
      <c r="G143" s="102"/>
      <c r="H143" s="102"/>
      <c r="I143" s="102"/>
      <c r="J143" s="102"/>
      <c r="K143" s="102"/>
      <c r="L143" s="102"/>
      <c r="M143" s="102"/>
      <c r="N143" s="102"/>
      <c r="O143" s="102"/>
      <c r="P143" s="102"/>
      <c r="Q143" s="102"/>
      <c r="R143" s="102"/>
      <c r="S143" s="102"/>
      <c r="T143" s="102"/>
      <c r="U143" s="102"/>
      <c r="V143" s="102"/>
      <c r="W143" s="102"/>
      <c r="X143" s="102"/>
      <c r="Y143" s="135"/>
      <c r="Z143" s="293"/>
      <c r="AA143" s="293"/>
      <c r="AB143" s="293"/>
      <c r="AC143" s="293"/>
      <c r="AD143" s="293"/>
      <c r="AE143" s="293"/>
      <c r="AF143" s="293"/>
      <c r="AG143" s="293"/>
      <c r="AH143" s="293"/>
      <c r="AI143" s="293"/>
      <c r="AJ143" s="293"/>
      <c r="AK143" s="293"/>
      <c r="AL143" s="293"/>
      <c r="AM143" s="293"/>
      <c r="AN143" s="293"/>
      <c r="AO143" s="293"/>
      <c r="AP143" s="293"/>
      <c r="AQ143" s="293"/>
      <c r="AR143" s="293"/>
    </row>
    <row r="144" spans="2:44" s="78" customFormat="1" x14ac:dyDescent="0.2">
      <c r="B144" s="100"/>
      <c r="C144" s="102"/>
      <c r="D144" s="102"/>
      <c r="E144" s="102"/>
      <c r="F144" s="102"/>
      <c r="G144" s="102"/>
      <c r="H144" s="102"/>
      <c r="I144" s="102"/>
      <c r="J144" s="102"/>
      <c r="K144" s="102"/>
      <c r="L144" s="102"/>
      <c r="M144" s="102"/>
      <c r="N144" s="102"/>
      <c r="O144" s="102"/>
      <c r="P144" s="102"/>
      <c r="Q144" s="102"/>
      <c r="R144" s="102"/>
      <c r="S144" s="102"/>
      <c r="T144" s="102"/>
      <c r="U144" s="102"/>
      <c r="V144" s="102"/>
      <c r="W144" s="102"/>
      <c r="X144" s="102"/>
      <c r="Y144" s="135"/>
      <c r="Z144" s="293"/>
      <c r="AA144" s="293"/>
      <c r="AB144" s="293"/>
      <c r="AC144" s="293"/>
      <c r="AD144" s="293"/>
      <c r="AE144" s="293"/>
      <c r="AF144" s="293"/>
      <c r="AG144" s="293"/>
      <c r="AH144" s="293"/>
      <c r="AI144" s="293"/>
      <c r="AJ144" s="293"/>
      <c r="AK144" s="293"/>
      <c r="AL144" s="293"/>
      <c r="AM144" s="293"/>
      <c r="AN144" s="293"/>
      <c r="AO144" s="293"/>
      <c r="AP144" s="293"/>
      <c r="AQ144" s="293"/>
      <c r="AR144" s="293"/>
    </row>
    <row r="145" spans="2:44" s="78" customFormat="1" x14ac:dyDescent="0.2">
      <c r="B145" s="100"/>
      <c r="C145" s="102"/>
      <c r="D145" s="102"/>
      <c r="E145" s="102"/>
      <c r="F145" s="102"/>
      <c r="G145" s="102"/>
      <c r="H145" s="102"/>
      <c r="I145" s="102"/>
      <c r="J145" s="102"/>
      <c r="K145" s="102"/>
      <c r="L145" s="102"/>
      <c r="M145" s="102"/>
      <c r="N145" s="102"/>
      <c r="O145" s="102"/>
      <c r="P145" s="102"/>
      <c r="Q145" s="102"/>
      <c r="R145" s="102"/>
      <c r="S145" s="102"/>
      <c r="T145" s="102"/>
      <c r="U145" s="102"/>
      <c r="V145" s="102"/>
      <c r="W145" s="102"/>
      <c r="X145" s="102"/>
      <c r="Y145" s="135"/>
      <c r="Z145" s="293"/>
      <c r="AA145" s="293"/>
      <c r="AB145" s="293"/>
      <c r="AC145" s="293"/>
      <c r="AD145" s="293"/>
      <c r="AE145" s="293"/>
      <c r="AF145" s="293"/>
      <c r="AG145" s="293"/>
      <c r="AH145" s="293"/>
      <c r="AI145" s="293"/>
      <c r="AJ145" s="293"/>
      <c r="AK145" s="293"/>
      <c r="AL145" s="293"/>
      <c r="AM145" s="293"/>
      <c r="AN145" s="293"/>
      <c r="AO145" s="293"/>
      <c r="AP145" s="293"/>
      <c r="AQ145" s="293"/>
      <c r="AR145" s="293"/>
    </row>
    <row r="146" spans="2:44" s="78" customFormat="1" x14ac:dyDescent="0.2">
      <c r="B146" s="100"/>
      <c r="C146" s="102"/>
      <c r="D146" s="102"/>
      <c r="E146" s="102"/>
      <c r="F146" s="102"/>
      <c r="G146" s="102"/>
      <c r="H146" s="102"/>
      <c r="I146" s="102"/>
      <c r="J146" s="102"/>
      <c r="K146" s="102"/>
      <c r="L146" s="102"/>
      <c r="M146" s="102"/>
      <c r="N146" s="102"/>
      <c r="O146" s="102"/>
      <c r="P146" s="102"/>
      <c r="Q146" s="102"/>
      <c r="R146" s="102"/>
      <c r="S146" s="102"/>
      <c r="T146" s="102"/>
      <c r="U146" s="102"/>
      <c r="V146" s="102"/>
      <c r="W146" s="102"/>
      <c r="X146" s="102"/>
      <c r="Y146" s="135"/>
      <c r="Z146" s="293"/>
      <c r="AA146" s="293"/>
      <c r="AB146" s="293"/>
      <c r="AC146" s="293"/>
      <c r="AD146" s="293"/>
      <c r="AE146" s="293"/>
      <c r="AF146" s="293"/>
      <c r="AG146" s="293"/>
      <c r="AH146" s="293"/>
      <c r="AI146" s="293"/>
      <c r="AJ146" s="293"/>
      <c r="AK146" s="293"/>
      <c r="AL146" s="293"/>
      <c r="AM146" s="293"/>
      <c r="AN146" s="293"/>
      <c r="AO146" s="293"/>
      <c r="AP146" s="293"/>
      <c r="AQ146" s="293"/>
      <c r="AR146" s="293"/>
    </row>
    <row r="147" spans="2:44" s="78" customFormat="1" x14ac:dyDescent="0.2">
      <c r="B147" s="100"/>
      <c r="C147" s="102"/>
      <c r="D147" s="102"/>
      <c r="E147" s="102"/>
      <c r="F147" s="102"/>
      <c r="G147" s="102"/>
      <c r="H147" s="102"/>
      <c r="I147" s="102"/>
      <c r="J147" s="102"/>
      <c r="K147" s="102"/>
      <c r="L147" s="102"/>
      <c r="M147" s="102"/>
      <c r="N147" s="102"/>
      <c r="O147" s="102"/>
      <c r="P147" s="102"/>
      <c r="Q147" s="102"/>
      <c r="R147" s="102"/>
      <c r="S147" s="102"/>
      <c r="T147" s="102"/>
      <c r="U147" s="102"/>
      <c r="V147" s="102"/>
      <c r="W147" s="102"/>
      <c r="X147" s="102"/>
      <c r="Y147" s="102"/>
      <c r="Z147" s="100"/>
      <c r="AA147" s="100"/>
      <c r="AB147" s="293"/>
      <c r="AC147" s="293"/>
      <c r="AD147" s="293"/>
      <c r="AE147" s="293"/>
      <c r="AF147" s="293"/>
      <c r="AG147" s="293"/>
      <c r="AH147" s="293"/>
      <c r="AI147" s="293"/>
      <c r="AJ147" s="293"/>
      <c r="AK147" s="293"/>
      <c r="AL147" s="293"/>
      <c r="AM147" s="293"/>
      <c r="AN147" s="293"/>
      <c r="AO147" s="293"/>
      <c r="AP147" s="293"/>
      <c r="AQ147" s="293"/>
      <c r="AR147" s="293"/>
    </row>
    <row r="148" spans="2:44" s="78" customFormat="1" x14ac:dyDescent="0.2">
      <c r="B148" s="100"/>
      <c r="C148" s="102"/>
      <c r="D148" s="102"/>
      <c r="E148" s="102"/>
      <c r="F148" s="102"/>
      <c r="G148" s="102"/>
      <c r="H148" s="102"/>
      <c r="I148" s="102"/>
      <c r="J148" s="102"/>
      <c r="K148" s="102"/>
      <c r="L148" s="102"/>
      <c r="M148" s="102"/>
      <c r="N148" s="102"/>
      <c r="O148" s="102"/>
      <c r="P148" s="102"/>
      <c r="Q148" s="102"/>
      <c r="R148" s="102"/>
      <c r="S148" s="102"/>
      <c r="T148" s="102"/>
      <c r="U148" s="102"/>
      <c r="V148" s="102"/>
      <c r="W148" s="102"/>
      <c r="X148" s="102"/>
      <c r="Y148" s="102"/>
      <c r="Z148" s="100"/>
      <c r="AA148" s="100"/>
      <c r="AB148" s="293"/>
      <c r="AC148" s="293"/>
      <c r="AD148" s="293"/>
      <c r="AE148" s="293"/>
      <c r="AF148" s="293"/>
      <c r="AG148" s="293"/>
      <c r="AH148" s="293"/>
      <c r="AI148" s="293"/>
      <c r="AJ148" s="293"/>
      <c r="AK148" s="293"/>
      <c r="AL148" s="293"/>
      <c r="AM148" s="293"/>
      <c r="AN148" s="293"/>
      <c r="AO148" s="293"/>
      <c r="AP148" s="293"/>
      <c r="AQ148" s="293"/>
      <c r="AR148" s="293"/>
    </row>
    <row r="149" spans="2:44" s="78" customFormat="1" x14ac:dyDescent="0.2">
      <c r="B149" s="100"/>
      <c r="C149" s="102"/>
      <c r="D149" s="102"/>
      <c r="E149" s="102"/>
      <c r="F149" s="102"/>
      <c r="G149" s="102"/>
      <c r="H149" s="102"/>
      <c r="I149" s="102"/>
      <c r="J149" s="102"/>
      <c r="K149" s="102"/>
      <c r="L149" s="102"/>
      <c r="M149" s="102"/>
      <c r="N149" s="102"/>
      <c r="O149" s="102"/>
      <c r="P149" s="102"/>
      <c r="Q149" s="102"/>
      <c r="R149" s="102"/>
      <c r="S149" s="102"/>
      <c r="T149" s="102"/>
      <c r="U149" s="102"/>
      <c r="V149" s="102"/>
      <c r="W149" s="102"/>
      <c r="X149" s="102"/>
      <c r="Y149" s="102"/>
      <c r="Z149" s="100"/>
      <c r="AA149" s="100"/>
      <c r="AB149" s="293"/>
      <c r="AC149" s="293"/>
      <c r="AD149" s="293"/>
      <c r="AE149" s="293"/>
      <c r="AF149" s="293"/>
      <c r="AG149" s="293"/>
      <c r="AH149" s="293"/>
      <c r="AI149" s="293"/>
      <c r="AJ149" s="293"/>
      <c r="AK149" s="293"/>
      <c r="AL149" s="293"/>
      <c r="AM149" s="293"/>
      <c r="AN149" s="293"/>
      <c r="AO149" s="293"/>
      <c r="AP149" s="293"/>
      <c r="AQ149" s="293"/>
      <c r="AR149" s="293"/>
    </row>
    <row r="150" spans="2:44" s="78" customFormat="1" x14ac:dyDescent="0.2">
      <c r="B150" s="100"/>
      <c r="C150" s="102"/>
      <c r="D150" s="102"/>
      <c r="E150" s="102"/>
      <c r="F150" s="102"/>
      <c r="G150" s="102"/>
      <c r="H150" s="102"/>
      <c r="I150" s="102"/>
      <c r="J150" s="102"/>
      <c r="K150" s="102"/>
      <c r="L150" s="102"/>
      <c r="M150" s="102"/>
      <c r="N150" s="102"/>
      <c r="O150" s="102"/>
      <c r="P150" s="102"/>
      <c r="Q150" s="102"/>
      <c r="R150" s="102"/>
      <c r="S150" s="102"/>
      <c r="T150" s="102"/>
      <c r="U150" s="102"/>
      <c r="V150" s="102"/>
      <c r="W150" s="102"/>
      <c r="X150" s="102"/>
      <c r="Y150" s="102"/>
      <c r="Z150" s="100"/>
      <c r="AA150" s="100"/>
      <c r="AB150" s="293"/>
      <c r="AC150" s="293"/>
      <c r="AD150" s="293"/>
      <c r="AE150" s="293"/>
      <c r="AF150" s="293"/>
      <c r="AG150" s="293"/>
      <c r="AH150" s="293"/>
      <c r="AI150" s="293"/>
      <c r="AJ150" s="293"/>
      <c r="AK150" s="293"/>
      <c r="AL150" s="293"/>
      <c r="AM150" s="293"/>
      <c r="AN150" s="293"/>
      <c r="AO150" s="293"/>
      <c r="AP150" s="293"/>
      <c r="AQ150" s="293"/>
      <c r="AR150" s="293"/>
    </row>
    <row r="151" spans="2:44" s="78" customFormat="1" x14ac:dyDescent="0.2">
      <c r="B151" s="100"/>
      <c r="C151" s="102"/>
      <c r="D151" s="102"/>
      <c r="E151" s="102"/>
      <c r="F151" s="102"/>
      <c r="G151" s="102"/>
      <c r="H151" s="102"/>
      <c r="I151" s="102"/>
      <c r="J151" s="102"/>
      <c r="K151" s="102"/>
      <c r="L151" s="102"/>
      <c r="M151" s="102"/>
      <c r="N151" s="102"/>
      <c r="O151" s="102"/>
      <c r="P151" s="102"/>
      <c r="Q151" s="102"/>
      <c r="R151" s="102"/>
      <c r="S151" s="102"/>
      <c r="T151" s="102"/>
      <c r="U151" s="102"/>
      <c r="V151" s="102"/>
      <c r="W151" s="102"/>
      <c r="X151" s="102"/>
      <c r="Y151" s="102"/>
      <c r="Z151" s="100"/>
      <c r="AA151" s="100"/>
      <c r="AB151" s="293"/>
      <c r="AC151" s="293"/>
      <c r="AD151" s="293"/>
      <c r="AE151" s="293"/>
      <c r="AF151" s="293"/>
      <c r="AG151" s="293"/>
      <c r="AH151" s="293"/>
      <c r="AI151" s="293"/>
      <c r="AJ151" s="293"/>
      <c r="AK151" s="293"/>
      <c r="AL151" s="293"/>
      <c r="AM151" s="293"/>
      <c r="AN151" s="293"/>
      <c r="AO151" s="293"/>
      <c r="AP151" s="293"/>
      <c r="AQ151" s="293"/>
      <c r="AR151" s="293"/>
    </row>
    <row r="152" spans="2:44" s="78" customFormat="1" x14ac:dyDescent="0.2">
      <c r="B152" s="100"/>
      <c r="C152" s="102"/>
      <c r="D152" s="102"/>
      <c r="E152" s="102"/>
      <c r="F152" s="102"/>
      <c r="G152" s="102"/>
      <c r="H152" s="102"/>
      <c r="I152" s="102"/>
      <c r="J152" s="102"/>
      <c r="K152" s="102"/>
      <c r="L152" s="102"/>
      <c r="M152" s="102"/>
      <c r="N152" s="102"/>
      <c r="O152" s="102"/>
      <c r="P152" s="102"/>
      <c r="Q152" s="102"/>
      <c r="R152" s="102"/>
      <c r="S152" s="102"/>
      <c r="T152" s="102"/>
      <c r="U152" s="102"/>
      <c r="V152" s="102"/>
      <c r="W152" s="102"/>
      <c r="X152" s="102"/>
      <c r="Y152" s="102"/>
      <c r="Z152" s="100"/>
      <c r="AA152" s="100"/>
      <c r="AB152" s="293"/>
      <c r="AC152" s="293"/>
      <c r="AD152" s="293"/>
      <c r="AE152" s="293"/>
      <c r="AF152" s="293"/>
      <c r="AG152" s="293"/>
      <c r="AH152" s="293"/>
      <c r="AI152" s="293"/>
      <c r="AJ152" s="293"/>
      <c r="AK152" s="293"/>
      <c r="AL152" s="293"/>
      <c r="AM152" s="293"/>
      <c r="AN152" s="293"/>
      <c r="AO152" s="293"/>
      <c r="AP152" s="293"/>
      <c r="AQ152" s="293"/>
      <c r="AR152" s="293"/>
    </row>
    <row r="153" spans="2:44" s="78" customFormat="1" x14ac:dyDescent="0.2">
      <c r="B153" s="100"/>
      <c r="C153" s="102"/>
      <c r="D153" s="102"/>
      <c r="E153" s="102"/>
      <c r="F153" s="102"/>
      <c r="G153" s="102"/>
      <c r="H153" s="102"/>
      <c r="I153" s="102"/>
      <c r="J153" s="102"/>
      <c r="K153" s="102"/>
      <c r="L153" s="102"/>
      <c r="M153" s="102"/>
      <c r="N153" s="102"/>
      <c r="O153" s="102"/>
      <c r="P153" s="102"/>
      <c r="Q153" s="102"/>
      <c r="R153" s="102"/>
      <c r="S153" s="102"/>
      <c r="T153" s="102"/>
      <c r="U153" s="102"/>
      <c r="V153" s="102"/>
      <c r="W153" s="102"/>
      <c r="X153" s="102"/>
      <c r="Y153" s="102"/>
      <c r="Z153" s="100"/>
      <c r="AA153" s="100"/>
      <c r="AB153" s="293"/>
      <c r="AC153" s="293"/>
      <c r="AD153" s="293"/>
      <c r="AE153" s="293"/>
      <c r="AF153" s="293"/>
      <c r="AG153" s="293"/>
      <c r="AH153" s="293"/>
      <c r="AI153" s="293"/>
      <c r="AJ153" s="293"/>
      <c r="AK153" s="293"/>
      <c r="AL153" s="293"/>
      <c r="AM153" s="293"/>
      <c r="AN153" s="293"/>
      <c r="AO153" s="293"/>
      <c r="AP153" s="293"/>
      <c r="AQ153" s="293"/>
      <c r="AR153" s="293"/>
    </row>
    <row r="154" spans="2:44" s="78" customFormat="1" x14ac:dyDescent="0.2">
      <c r="B154" s="100"/>
      <c r="C154" s="102"/>
      <c r="D154" s="102"/>
      <c r="E154" s="102"/>
      <c r="F154" s="102"/>
      <c r="G154" s="102"/>
      <c r="H154" s="102"/>
      <c r="I154" s="102"/>
      <c r="J154" s="102"/>
      <c r="K154" s="102"/>
      <c r="L154" s="102"/>
      <c r="M154" s="102"/>
      <c r="N154" s="102"/>
      <c r="O154" s="102"/>
      <c r="P154" s="102"/>
      <c r="Q154" s="102"/>
      <c r="R154" s="102"/>
      <c r="S154" s="102"/>
      <c r="T154" s="102"/>
      <c r="U154" s="102"/>
      <c r="V154" s="102"/>
      <c r="W154" s="102"/>
      <c r="X154" s="102"/>
      <c r="Y154" s="102"/>
      <c r="Z154" s="100"/>
      <c r="AA154" s="100"/>
      <c r="AB154" s="293"/>
      <c r="AC154" s="293"/>
      <c r="AD154" s="293"/>
      <c r="AE154" s="293"/>
      <c r="AF154" s="293"/>
      <c r="AG154" s="293"/>
      <c r="AH154" s="293"/>
      <c r="AI154" s="293"/>
      <c r="AJ154" s="293"/>
      <c r="AK154" s="293"/>
      <c r="AL154" s="293"/>
      <c r="AM154" s="293"/>
      <c r="AN154" s="293"/>
      <c r="AO154" s="293"/>
      <c r="AP154" s="293"/>
      <c r="AQ154" s="293"/>
      <c r="AR154" s="293"/>
    </row>
    <row r="155" spans="2:44" s="78" customFormat="1" x14ac:dyDescent="0.2">
      <c r="B155" s="100"/>
      <c r="C155" s="102"/>
      <c r="D155" s="102"/>
      <c r="E155" s="102"/>
      <c r="F155" s="102"/>
      <c r="G155" s="102"/>
      <c r="H155" s="102"/>
      <c r="I155" s="102"/>
      <c r="J155" s="102"/>
      <c r="K155" s="102"/>
      <c r="L155" s="102"/>
      <c r="M155" s="102"/>
      <c r="N155" s="102"/>
      <c r="O155" s="102"/>
      <c r="P155" s="102"/>
      <c r="Q155" s="102"/>
      <c r="R155" s="102"/>
      <c r="S155" s="102"/>
      <c r="T155" s="102"/>
      <c r="U155" s="102"/>
      <c r="V155" s="102"/>
      <c r="W155" s="102"/>
      <c r="X155" s="102"/>
      <c r="Y155" s="102"/>
      <c r="Z155" s="100"/>
      <c r="AA155" s="100"/>
      <c r="AB155" s="293"/>
      <c r="AC155" s="293"/>
      <c r="AD155" s="293"/>
      <c r="AE155" s="293"/>
      <c r="AF155" s="293"/>
      <c r="AG155" s="293"/>
      <c r="AH155" s="293"/>
      <c r="AI155" s="293"/>
      <c r="AJ155" s="293"/>
      <c r="AK155" s="293"/>
      <c r="AL155" s="293"/>
      <c r="AM155" s="293"/>
      <c r="AN155" s="293"/>
      <c r="AO155" s="293"/>
      <c r="AP155" s="293"/>
      <c r="AQ155" s="293"/>
      <c r="AR155" s="293"/>
    </row>
    <row r="156" spans="2:44" s="78" customFormat="1" x14ac:dyDescent="0.2">
      <c r="B156" s="100"/>
      <c r="C156" s="102"/>
      <c r="D156" s="102"/>
      <c r="E156" s="102"/>
      <c r="F156" s="102"/>
      <c r="G156" s="102"/>
      <c r="H156" s="102"/>
      <c r="I156" s="102"/>
      <c r="J156" s="102"/>
      <c r="K156" s="102"/>
      <c r="L156" s="102"/>
      <c r="M156" s="102"/>
      <c r="N156" s="102"/>
      <c r="O156" s="102"/>
      <c r="P156" s="102"/>
      <c r="Q156" s="102"/>
      <c r="R156" s="102"/>
      <c r="S156" s="102"/>
      <c r="T156" s="102"/>
      <c r="U156" s="102"/>
      <c r="V156" s="102"/>
      <c r="W156" s="102"/>
      <c r="X156" s="102"/>
      <c r="Y156" s="102"/>
      <c r="Z156" s="100"/>
      <c r="AA156" s="100"/>
      <c r="AB156" s="293"/>
      <c r="AC156" s="293"/>
      <c r="AD156" s="293"/>
      <c r="AE156" s="293"/>
      <c r="AF156" s="293"/>
      <c r="AG156" s="293"/>
      <c r="AH156" s="293"/>
      <c r="AI156" s="293"/>
      <c r="AJ156" s="293"/>
      <c r="AK156" s="293"/>
      <c r="AL156" s="293"/>
      <c r="AM156" s="293"/>
      <c r="AN156" s="293"/>
      <c r="AO156" s="293"/>
      <c r="AP156" s="293"/>
      <c r="AQ156" s="293"/>
      <c r="AR156" s="293"/>
    </row>
    <row r="157" spans="2:44" s="78" customFormat="1" x14ac:dyDescent="0.2">
      <c r="B157" s="100"/>
      <c r="C157" s="102"/>
      <c r="D157" s="102"/>
      <c r="E157" s="102"/>
      <c r="F157" s="102"/>
      <c r="G157" s="102"/>
      <c r="H157" s="102"/>
      <c r="I157" s="102"/>
      <c r="J157" s="102"/>
      <c r="K157" s="102"/>
      <c r="L157" s="102"/>
      <c r="M157" s="102"/>
      <c r="N157" s="102"/>
      <c r="O157" s="102"/>
      <c r="P157" s="102"/>
      <c r="Q157" s="102"/>
      <c r="R157" s="102"/>
      <c r="S157" s="102"/>
      <c r="T157" s="102"/>
      <c r="U157" s="102"/>
      <c r="V157" s="102"/>
      <c r="W157" s="102"/>
      <c r="X157" s="102"/>
      <c r="Y157" s="102"/>
      <c r="Z157" s="100"/>
      <c r="AA157" s="100"/>
      <c r="AB157" s="100"/>
      <c r="AC157" s="100"/>
      <c r="AD157" s="100"/>
      <c r="AE157" s="100"/>
      <c r="AF157" s="100"/>
      <c r="AG157" s="100"/>
      <c r="AH157" s="293"/>
      <c r="AI157" s="293"/>
      <c r="AJ157" s="293"/>
      <c r="AK157" s="293"/>
      <c r="AL157" s="293"/>
      <c r="AM157" s="293"/>
      <c r="AN157" s="293"/>
      <c r="AO157" s="293"/>
      <c r="AP157" s="293"/>
      <c r="AQ157" s="293"/>
      <c r="AR157" s="293"/>
    </row>
    <row r="158" spans="2:44" s="78" customFormat="1" x14ac:dyDescent="0.2">
      <c r="B158" s="293"/>
      <c r="C158" s="102"/>
      <c r="D158" s="102"/>
      <c r="E158" s="102"/>
      <c r="F158" s="102"/>
      <c r="G158" s="102"/>
      <c r="H158" s="102"/>
      <c r="I158" s="102"/>
      <c r="J158" s="102"/>
      <c r="K158" s="102"/>
      <c r="L158" s="102"/>
      <c r="M158" s="102"/>
      <c r="N158" s="102"/>
      <c r="O158" s="102"/>
      <c r="P158" s="102"/>
      <c r="Q158" s="102"/>
      <c r="R158" s="102"/>
      <c r="S158" s="102"/>
      <c r="T158" s="102"/>
      <c r="U158" s="102"/>
      <c r="V158" s="102"/>
      <c r="W158" s="102"/>
      <c r="X158" s="102"/>
      <c r="Y158" s="102"/>
      <c r="Z158" s="100"/>
      <c r="AA158" s="100"/>
      <c r="AB158" s="100"/>
      <c r="AC158" s="100"/>
      <c r="AD158" s="100"/>
      <c r="AE158" s="100"/>
      <c r="AF158" s="100"/>
      <c r="AG158" s="100"/>
      <c r="AH158" s="293"/>
      <c r="AI158" s="293"/>
      <c r="AJ158" s="293"/>
      <c r="AK158" s="293"/>
      <c r="AL158" s="293"/>
      <c r="AM158" s="293"/>
      <c r="AN158" s="293"/>
      <c r="AO158" s="293"/>
      <c r="AP158" s="293"/>
      <c r="AQ158" s="293"/>
      <c r="AR158" s="293"/>
    </row>
    <row r="159" spans="2:44" s="78" customFormat="1" x14ac:dyDescent="0.2">
      <c r="B159" s="293"/>
      <c r="C159" s="102"/>
      <c r="D159" s="102"/>
      <c r="E159" s="102"/>
      <c r="F159" s="102"/>
      <c r="G159" s="102"/>
      <c r="H159" s="102"/>
      <c r="I159" s="102"/>
      <c r="J159" s="102"/>
      <c r="K159" s="102"/>
      <c r="L159" s="102"/>
      <c r="M159" s="102"/>
      <c r="N159" s="102"/>
      <c r="O159" s="102"/>
      <c r="P159" s="102"/>
      <c r="Q159" s="102"/>
      <c r="R159" s="102"/>
      <c r="S159" s="102"/>
      <c r="T159" s="102"/>
      <c r="U159" s="102"/>
      <c r="V159" s="102"/>
      <c r="W159" s="102"/>
      <c r="X159" s="102"/>
      <c r="Y159" s="102"/>
      <c r="Z159" s="100"/>
      <c r="AA159" s="100"/>
      <c r="AB159" s="100"/>
      <c r="AC159" s="100"/>
      <c r="AD159" s="100"/>
      <c r="AE159" s="100"/>
      <c r="AF159" s="100"/>
      <c r="AG159" s="100"/>
      <c r="AH159" s="293"/>
      <c r="AI159" s="293"/>
      <c r="AJ159" s="293"/>
      <c r="AK159" s="293"/>
      <c r="AL159" s="293"/>
      <c r="AM159" s="293"/>
      <c r="AN159" s="293"/>
      <c r="AO159" s="293"/>
      <c r="AP159" s="293"/>
      <c r="AQ159" s="293"/>
      <c r="AR159" s="293"/>
    </row>
    <row r="160" spans="2:44" s="78" customFormat="1" x14ac:dyDescent="0.2">
      <c r="B160" s="293"/>
      <c r="C160" s="102"/>
      <c r="D160" s="102"/>
      <c r="E160" s="102"/>
      <c r="F160" s="102"/>
      <c r="G160" s="102"/>
      <c r="H160" s="102"/>
      <c r="I160" s="102"/>
      <c r="J160" s="102"/>
      <c r="K160" s="102"/>
      <c r="L160" s="102"/>
      <c r="M160" s="102"/>
      <c r="N160" s="102"/>
      <c r="O160" s="102"/>
      <c r="P160" s="102"/>
      <c r="Q160" s="102"/>
      <c r="R160" s="102"/>
      <c r="S160" s="102"/>
      <c r="T160" s="102"/>
      <c r="U160" s="102"/>
      <c r="V160" s="102"/>
      <c r="W160" s="102"/>
      <c r="X160" s="102"/>
      <c r="Y160" s="102"/>
      <c r="Z160" s="100"/>
      <c r="AA160" s="100"/>
      <c r="AB160" s="100"/>
      <c r="AC160" s="100"/>
      <c r="AD160" s="100"/>
      <c r="AE160" s="100"/>
      <c r="AF160" s="100"/>
      <c r="AG160" s="100"/>
      <c r="AH160" s="293"/>
      <c r="AI160" s="293"/>
      <c r="AJ160" s="293"/>
      <c r="AK160" s="293"/>
      <c r="AL160" s="293"/>
      <c r="AM160" s="293"/>
      <c r="AN160" s="293"/>
      <c r="AO160" s="293"/>
      <c r="AP160" s="293"/>
      <c r="AQ160" s="293"/>
      <c r="AR160" s="293"/>
    </row>
    <row r="161" spans="1:47" s="78" customFormat="1" x14ac:dyDescent="0.2">
      <c r="B161" s="293"/>
      <c r="C161" s="118"/>
      <c r="D161" s="118"/>
      <c r="E161" s="118"/>
      <c r="F161" s="118"/>
      <c r="G161" s="118"/>
      <c r="H161" s="118"/>
      <c r="I161" s="118"/>
      <c r="J161" s="118"/>
      <c r="K161" s="118"/>
      <c r="L161" s="118"/>
      <c r="M161" s="118"/>
      <c r="N161" s="118"/>
      <c r="O161" s="118"/>
      <c r="P161" s="118"/>
      <c r="Q161" s="118"/>
      <c r="R161" s="118"/>
      <c r="S161" s="118"/>
      <c r="T161" s="118"/>
      <c r="U161" s="118"/>
      <c r="V161" s="118"/>
      <c r="W161" s="118"/>
      <c r="X161" s="118"/>
      <c r="Y161" s="118"/>
      <c r="Z161" s="119"/>
      <c r="AA161" s="119"/>
      <c r="AB161" s="119"/>
      <c r="AC161" s="119"/>
      <c r="AD161" s="119"/>
      <c r="AE161" s="119"/>
      <c r="AF161" s="119"/>
      <c r="AG161" s="119"/>
      <c r="AH161" s="113"/>
      <c r="AI161" s="113"/>
      <c r="AJ161" s="113"/>
      <c r="AK161" s="113"/>
      <c r="AL161" s="113"/>
      <c r="AM161" s="293"/>
      <c r="AN161" s="293"/>
      <c r="AO161" s="293"/>
      <c r="AP161" s="293"/>
      <c r="AQ161" s="293"/>
      <c r="AR161" s="293"/>
    </row>
    <row r="162" spans="1:47" s="78" customFormat="1" x14ac:dyDescent="0.2">
      <c r="A162" s="293"/>
      <c r="B162" s="293"/>
      <c r="C162" s="112"/>
      <c r="D162" s="112"/>
      <c r="E162" s="112"/>
      <c r="F162" s="112"/>
      <c r="G162" s="112"/>
      <c r="H162" s="112"/>
      <c r="I162" s="112"/>
      <c r="J162" s="112"/>
      <c r="K162" s="112"/>
      <c r="L162" s="112"/>
      <c r="M162" s="112"/>
      <c r="N162" s="112"/>
      <c r="O162" s="112"/>
      <c r="P162" s="112"/>
      <c r="Q162" s="112"/>
      <c r="R162" s="112"/>
      <c r="S162" s="112"/>
      <c r="T162" s="112"/>
      <c r="U162" s="112"/>
      <c r="V162" s="112"/>
      <c r="W162" s="112"/>
      <c r="X162" s="112"/>
      <c r="Y162" s="112"/>
      <c r="Z162" s="113"/>
      <c r="AA162" s="113"/>
      <c r="AB162" s="113"/>
      <c r="AC162" s="113"/>
      <c r="AD162" s="113"/>
      <c r="AE162" s="113"/>
      <c r="AF162" s="113"/>
      <c r="AG162" s="113"/>
      <c r="AH162" s="113"/>
      <c r="AI162" s="113"/>
      <c r="AJ162" s="113"/>
      <c r="AK162" s="113"/>
      <c r="AL162" s="113"/>
      <c r="AM162" s="293"/>
      <c r="AN162" s="293"/>
      <c r="AO162" s="293"/>
      <c r="AP162" s="293"/>
      <c r="AQ162" s="293"/>
      <c r="AR162" s="293"/>
    </row>
    <row r="163" spans="1:47" s="78" customFormat="1" x14ac:dyDescent="0.2">
      <c r="A163" s="293"/>
      <c r="B163" s="293"/>
      <c r="C163" s="112"/>
      <c r="D163" s="112"/>
      <c r="E163" s="112"/>
      <c r="F163" s="112"/>
      <c r="G163" s="112"/>
      <c r="H163" s="112"/>
      <c r="I163" s="112"/>
      <c r="J163" s="112"/>
      <c r="K163" s="112"/>
      <c r="L163" s="112"/>
      <c r="M163" s="112"/>
      <c r="N163" s="112"/>
      <c r="O163" s="112"/>
      <c r="P163" s="112"/>
      <c r="Q163" s="112"/>
      <c r="R163" s="112"/>
      <c r="S163" s="112"/>
      <c r="T163" s="112"/>
      <c r="U163" s="112"/>
      <c r="V163" s="112"/>
      <c r="W163" s="112"/>
      <c r="X163" s="112"/>
      <c r="Y163" s="112"/>
      <c r="Z163" s="113"/>
      <c r="AA163" s="113"/>
      <c r="AB163" s="113"/>
      <c r="AC163" s="113"/>
      <c r="AD163" s="113"/>
      <c r="AE163" s="113"/>
      <c r="AF163" s="113"/>
      <c r="AG163" s="113"/>
      <c r="AH163" s="113"/>
      <c r="AI163" s="113"/>
      <c r="AJ163" s="113"/>
      <c r="AK163" s="113"/>
      <c r="AL163" s="113"/>
      <c r="AM163" s="293"/>
      <c r="AN163" s="293"/>
      <c r="AO163" s="293"/>
      <c r="AP163" s="293"/>
      <c r="AQ163" s="293"/>
      <c r="AR163" s="293"/>
      <c r="AS163" s="293"/>
      <c r="AT163" s="293"/>
      <c r="AU163" s="293"/>
    </row>
    <row r="164" spans="1:47" s="78" customFormat="1" x14ac:dyDescent="0.2">
      <c r="A164" s="293"/>
      <c r="B164" s="293"/>
      <c r="C164" s="112"/>
      <c r="D164" s="112"/>
      <c r="E164" s="112"/>
      <c r="F164" s="112"/>
      <c r="G164" s="112"/>
      <c r="H164" s="112"/>
      <c r="I164" s="112"/>
      <c r="J164" s="112"/>
      <c r="K164" s="112"/>
      <c r="L164" s="112"/>
      <c r="M164" s="112"/>
      <c r="N164" s="112"/>
      <c r="O164" s="112"/>
      <c r="P164" s="112"/>
      <c r="Q164" s="112"/>
      <c r="R164" s="112"/>
      <c r="S164" s="112"/>
      <c r="T164" s="112"/>
      <c r="U164" s="112"/>
      <c r="V164" s="112"/>
      <c r="W164" s="112"/>
      <c r="X164" s="112"/>
      <c r="Y164" s="112"/>
      <c r="Z164" s="112"/>
      <c r="AA164" s="112"/>
      <c r="AB164" s="112"/>
      <c r="AC164" s="112"/>
      <c r="AD164" s="112"/>
      <c r="AE164" s="112"/>
      <c r="AF164" s="112"/>
      <c r="AG164" s="112"/>
      <c r="AH164" s="112"/>
      <c r="AI164" s="112"/>
      <c r="AJ164" s="112"/>
      <c r="AK164" s="112"/>
      <c r="AL164" s="112"/>
      <c r="AM164" s="112"/>
      <c r="AN164" s="112"/>
      <c r="AO164" s="112"/>
      <c r="AP164" s="112"/>
      <c r="AQ164" s="112"/>
      <c r="AR164" s="112"/>
      <c r="AS164" s="112"/>
      <c r="AT164" s="112"/>
      <c r="AU164" s="293"/>
    </row>
    <row r="165" spans="1:47" s="78" customFormat="1" x14ac:dyDescent="0.2">
      <c r="A165" s="293"/>
      <c r="B165" s="293"/>
      <c r="C165" s="112"/>
      <c r="D165" s="112"/>
      <c r="E165" s="112"/>
      <c r="F165" s="112"/>
      <c r="G165" s="112"/>
      <c r="H165" s="112"/>
      <c r="I165" s="112"/>
      <c r="J165" s="112"/>
      <c r="K165" s="112"/>
      <c r="L165" s="112"/>
      <c r="M165" s="112"/>
      <c r="N165" s="112"/>
      <c r="O165" s="112"/>
      <c r="P165" s="112"/>
      <c r="Q165" s="112"/>
      <c r="R165" s="112"/>
      <c r="S165" s="112"/>
      <c r="T165" s="112"/>
      <c r="U165" s="112"/>
      <c r="V165" s="112"/>
      <c r="W165" s="112"/>
      <c r="X165" s="112"/>
      <c r="Y165" s="112"/>
      <c r="Z165" s="112"/>
      <c r="AA165" s="112"/>
      <c r="AB165" s="112"/>
      <c r="AC165" s="112"/>
      <c r="AD165" s="112"/>
      <c r="AE165" s="112"/>
      <c r="AF165" s="112"/>
      <c r="AG165" s="112"/>
      <c r="AH165" s="112"/>
      <c r="AI165" s="112"/>
      <c r="AJ165" s="112"/>
      <c r="AK165" s="112"/>
      <c r="AL165" s="112"/>
      <c r="AM165" s="112"/>
      <c r="AN165" s="112"/>
      <c r="AO165" s="112"/>
      <c r="AP165" s="112"/>
      <c r="AQ165" s="112"/>
      <c r="AR165" s="112"/>
      <c r="AS165" s="112"/>
      <c r="AT165" s="112"/>
      <c r="AU165" s="293"/>
    </row>
    <row r="166" spans="1:47" s="78" customFormat="1" x14ac:dyDescent="0.2">
      <c r="A166" s="293"/>
      <c r="B166" s="293"/>
      <c r="C166" s="112"/>
      <c r="D166" s="112"/>
      <c r="E166" s="112"/>
      <c r="F166" s="112"/>
      <c r="G166" s="112"/>
      <c r="H166" s="112"/>
      <c r="I166" s="112"/>
      <c r="J166" s="112"/>
      <c r="K166" s="112"/>
      <c r="L166" s="112"/>
      <c r="M166" s="112"/>
      <c r="N166" s="112"/>
      <c r="O166" s="112"/>
      <c r="P166" s="112"/>
      <c r="Q166" s="112"/>
      <c r="R166" s="112"/>
      <c r="S166" s="112"/>
      <c r="T166" s="112"/>
      <c r="U166" s="112"/>
      <c r="V166" s="112"/>
      <c r="W166" s="112"/>
      <c r="X166" s="112"/>
      <c r="Y166" s="112"/>
      <c r="Z166" s="112"/>
      <c r="AA166" s="112"/>
      <c r="AB166" s="112"/>
      <c r="AC166" s="112"/>
      <c r="AD166" s="112"/>
      <c r="AE166" s="112"/>
      <c r="AF166" s="112"/>
      <c r="AG166" s="112"/>
      <c r="AH166" s="112"/>
      <c r="AI166" s="112"/>
      <c r="AJ166" s="112"/>
      <c r="AK166" s="112"/>
      <c r="AL166" s="112"/>
      <c r="AM166" s="112"/>
      <c r="AN166" s="112"/>
      <c r="AO166" s="112"/>
      <c r="AP166" s="112"/>
      <c r="AQ166" s="112"/>
      <c r="AR166" s="112"/>
      <c r="AS166" s="112"/>
      <c r="AT166" s="112"/>
      <c r="AU166" s="293"/>
    </row>
    <row r="167" spans="1:47" s="78" customFormat="1" x14ac:dyDescent="0.2">
      <c r="A167" s="293"/>
      <c r="B167" s="293"/>
      <c r="C167" s="112" t="s">
        <v>2614</v>
      </c>
      <c r="D167" s="112"/>
      <c r="E167" s="112"/>
      <c r="F167" s="112"/>
      <c r="G167" s="112"/>
      <c r="H167" s="112"/>
      <c r="I167" s="112"/>
      <c r="J167" s="112"/>
      <c r="K167" s="112"/>
      <c r="L167" s="112"/>
      <c r="M167" s="112"/>
      <c r="N167" s="112"/>
      <c r="O167" s="112"/>
      <c r="P167" s="112"/>
      <c r="Q167" s="112"/>
      <c r="R167" s="112"/>
      <c r="S167" s="112"/>
      <c r="T167" s="112"/>
      <c r="U167" s="112"/>
      <c r="V167" s="112"/>
      <c r="W167" s="112"/>
      <c r="X167" s="112"/>
      <c r="Y167" s="112"/>
      <c r="Z167" s="112"/>
      <c r="AA167" s="112"/>
      <c r="AB167" s="112"/>
      <c r="AC167" s="112"/>
      <c r="AD167" s="112"/>
      <c r="AE167" s="112"/>
      <c r="AF167" s="112"/>
      <c r="AG167" s="112"/>
      <c r="AH167" s="112"/>
      <c r="AI167" s="112"/>
      <c r="AJ167" s="112"/>
      <c r="AK167" s="112"/>
      <c r="AL167" s="112"/>
      <c r="AM167" s="112"/>
      <c r="AN167" s="112"/>
      <c r="AO167" s="112"/>
      <c r="AP167" s="112"/>
      <c r="AQ167" s="112"/>
      <c r="AR167" s="112"/>
      <c r="AS167" s="112"/>
      <c r="AT167" s="112"/>
      <c r="AU167" s="293"/>
    </row>
    <row r="168" spans="1:47" s="78" customFormat="1" x14ac:dyDescent="0.2">
      <c r="A168" s="293"/>
      <c r="B168" s="293"/>
      <c r="C168" s="112" t="e">
        <f ca="1">IF(AND(H63="Invest- inkl. Tarifförderung",H37&gt;=5),Startmakro1(),Startmakro2())</f>
        <v>#NAME?</v>
      </c>
      <c r="D168" s="112"/>
      <c r="E168" s="112"/>
      <c r="F168" s="112"/>
      <c r="G168" s="112"/>
      <c r="H168" s="112"/>
      <c r="I168" s="112"/>
      <c r="J168" s="112"/>
      <c r="K168" s="112"/>
      <c r="L168" s="112"/>
      <c r="M168" s="112"/>
      <c r="N168" s="112"/>
      <c r="O168" s="112"/>
      <c r="P168" s="112"/>
      <c r="Q168" s="112"/>
      <c r="R168" s="112"/>
      <c r="S168" s="112"/>
      <c r="T168" s="112"/>
      <c r="U168" s="112"/>
      <c r="V168" s="112"/>
      <c r="W168" s="112"/>
      <c r="X168" s="112"/>
      <c r="Y168" s="112"/>
      <c r="Z168" s="112"/>
      <c r="AA168" s="112"/>
      <c r="AB168" s="112"/>
      <c r="AC168" s="112"/>
      <c r="AD168" s="112"/>
      <c r="AE168" s="112"/>
      <c r="AF168" s="112"/>
      <c r="AG168" s="112"/>
      <c r="AH168" s="112"/>
      <c r="AI168" s="112"/>
      <c r="AJ168" s="112"/>
      <c r="AK168" s="112"/>
      <c r="AL168" s="112"/>
      <c r="AM168" s="112"/>
      <c r="AN168" s="112"/>
      <c r="AO168" s="112"/>
      <c r="AP168" s="112"/>
      <c r="AQ168" s="112"/>
      <c r="AR168" s="112"/>
      <c r="AS168" s="112"/>
      <c r="AT168" s="112"/>
      <c r="AU168" s="293"/>
    </row>
    <row r="169" spans="1:47" s="78" customFormat="1" x14ac:dyDescent="0.2">
      <c r="A169" s="293"/>
      <c r="B169" s="293"/>
      <c r="C169" s="112"/>
      <c r="D169" s="112"/>
      <c r="E169" s="112"/>
      <c r="F169" s="112"/>
      <c r="G169" s="112"/>
      <c r="H169" s="112"/>
      <c r="I169" s="112"/>
      <c r="J169" s="112"/>
      <c r="K169" s="112"/>
      <c r="L169" s="112"/>
      <c r="M169" s="112"/>
      <c r="N169" s="112"/>
      <c r="O169" s="112"/>
      <c r="P169" s="112"/>
      <c r="Q169" s="112"/>
      <c r="R169" s="112"/>
      <c r="S169" s="112"/>
      <c r="T169" s="112"/>
      <c r="U169" s="112"/>
      <c r="V169" s="112"/>
      <c r="W169" s="112"/>
      <c r="X169" s="112"/>
      <c r="Y169" s="112"/>
      <c r="Z169" s="112"/>
      <c r="AA169" s="112"/>
      <c r="AB169" s="112"/>
      <c r="AC169" s="112"/>
      <c r="AD169" s="112"/>
      <c r="AE169" s="112"/>
      <c r="AF169" s="112"/>
      <c r="AG169" s="112"/>
      <c r="AH169" s="112"/>
      <c r="AI169" s="112"/>
      <c r="AJ169" s="112"/>
      <c r="AK169" s="112"/>
      <c r="AL169" s="112"/>
      <c r="AM169" s="112"/>
      <c r="AN169" s="112"/>
      <c r="AO169" s="112"/>
      <c r="AP169" s="112"/>
      <c r="AQ169" s="112"/>
      <c r="AR169" s="112"/>
      <c r="AS169" s="112"/>
      <c r="AT169" s="112"/>
      <c r="AU169" s="293"/>
    </row>
    <row r="170" spans="1:47" s="78" customFormat="1" x14ac:dyDescent="0.2">
      <c r="A170" s="135"/>
      <c r="B170" s="135"/>
      <c r="C170" s="112"/>
      <c r="D170" s="112"/>
      <c r="E170" s="112"/>
      <c r="F170" s="112"/>
      <c r="G170" s="112"/>
      <c r="H170" s="112"/>
      <c r="I170" s="112"/>
      <c r="J170" s="112"/>
      <c r="K170" s="112"/>
      <c r="L170" s="112"/>
      <c r="M170" s="112"/>
      <c r="N170" s="112"/>
      <c r="O170" s="112"/>
      <c r="P170" s="112"/>
      <c r="Q170" s="112"/>
      <c r="R170" s="112"/>
      <c r="S170" s="112"/>
      <c r="T170" s="112"/>
      <c r="U170" s="112"/>
      <c r="V170" s="112"/>
      <c r="W170" s="112"/>
      <c r="X170" s="112"/>
      <c r="Y170" s="112"/>
      <c r="Z170" s="112"/>
      <c r="AA170" s="112"/>
      <c r="AB170" s="112"/>
      <c r="AC170" s="112"/>
      <c r="AD170" s="112"/>
      <c r="AE170" s="112"/>
      <c r="AF170" s="112"/>
      <c r="AG170" s="112"/>
      <c r="AH170" s="112"/>
      <c r="AI170" s="112"/>
      <c r="AJ170" s="112"/>
      <c r="AK170" s="112"/>
      <c r="AL170" s="112"/>
      <c r="AM170" s="112"/>
      <c r="AN170" s="112"/>
      <c r="AO170" s="112"/>
      <c r="AP170" s="112"/>
      <c r="AQ170" s="112"/>
      <c r="AR170" s="112"/>
      <c r="AS170" s="112"/>
      <c r="AT170" s="112"/>
      <c r="AU170" s="293"/>
    </row>
    <row r="171" spans="1:47" s="78" customFormat="1" x14ac:dyDescent="0.2">
      <c r="A171" s="135"/>
      <c r="B171" s="135"/>
      <c r="C171" s="112"/>
      <c r="D171" s="112">
        <v>1</v>
      </c>
      <c r="E171" s="112"/>
      <c r="F171" s="112" t="s">
        <v>285</v>
      </c>
      <c r="G171" s="112">
        <v>0</v>
      </c>
      <c r="H171" s="112" t="s">
        <v>856</v>
      </c>
      <c r="I171" s="112">
        <v>-90</v>
      </c>
      <c r="J171" s="112"/>
      <c r="K171" s="112"/>
      <c r="L171" s="112"/>
      <c r="M171" s="112"/>
      <c r="N171" s="112"/>
      <c r="O171" s="112"/>
      <c r="P171" s="112"/>
      <c r="Q171" s="112"/>
      <c r="R171" s="112"/>
      <c r="S171" s="112"/>
      <c r="T171" s="112"/>
      <c r="U171" s="112"/>
      <c r="V171" s="112"/>
      <c r="W171" s="112"/>
      <c r="X171" s="112"/>
      <c r="Y171" s="112"/>
      <c r="Z171" s="112"/>
      <c r="AA171" s="112"/>
      <c r="AB171" s="112"/>
      <c r="AC171" s="112"/>
      <c r="AD171" s="112"/>
      <c r="AE171" s="112"/>
      <c r="AF171" s="112"/>
      <c r="AG171" s="112"/>
      <c r="AH171" s="112"/>
      <c r="AI171" s="112"/>
      <c r="AJ171" s="112"/>
      <c r="AK171" s="112"/>
      <c r="AL171" s="112"/>
      <c r="AM171" s="112"/>
      <c r="AN171" s="112"/>
      <c r="AO171" s="112"/>
      <c r="AP171" s="112"/>
      <c r="AQ171" s="112"/>
      <c r="AR171" s="112"/>
      <c r="AS171" s="112"/>
      <c r="AT171" s="112"/>
      <c r="AU171" s="293"/>
    </row>
    <row r="172" spans="1:47" s="78" customFormat="1" x14ac:dyDescent="0.2">
      <c r="A172" s="135"/>
      <c r="B172" s="135"/>
      <c r="C172" s="112" t="s">
        <v>2712</v>
      </c>
      <c r="D172" s="112">
        <v>2</v>
      </c>
      <c r="E172" s="112"/>
      <c r="F172" s="112"/>
      <c r="G172" s="112">
        <v>15</v>
      </c>
      <c r="H172" s="112"/>
      <c r="I172" s="112">
        <v>-75</v>
      </c>
      <c r="J172" s="112"/>
      <c r="K172" s="112" t="s">
        <v>2040</v>
      </c>
      <c r="L172" s="112"/>
      <c r="M172" s="112"/>
      <c r="N172" s="112"/>
      <c r="O172" s="112"/>
      <c r="P172" s="112"/>
      <c r="Q172" s="112"/>
      <c r="R172" s="112" t="s">
        <v>93</v>
      </c>
      <c r="S172" s="112" t="s">
        <v>92</v>
      </c>
      <c r="T172" s="112"/>
      <c r="U172" s="112" t="s">
        <v>1619</v>
      </c>
      <c r="V172" s="112"/>
      <c r="W172" s="112"/>
      <c r="X172" s="112"/>
      <c r="Y172" s="112"/>
      <c r="Z172" s="112"/>
      <c r="AA172" s="112"/>
      <c r="AB172" s="112"/>
      <c r="AC172" s="112"/>
      <c r="AD172" s="112"/>
      <c r="AE172" s="112"/>
      <c r="AF172" s="112"/>
      <c r="AG172" s="112"/>
      <c r="AH172" s="112"/>
      <c r="AI172" s="112"/>
      <c r="AJ172" s="112"/>
      <c r="AK172" s="112"/>
      <c r="AL172" s="112"/>
      <c r="AM172" s="112"/>
      <c r="AN172" s="112"/>
      <c r="AO172" s="112"/>
      <c r="AP172" s="112"/>
      <c r="AQ172" s="112"/>
      <c r="AR172" s="112"/>
      <c r="AS172" s="112"/>
      <c r="AT172" s="112"/>
      <c r="AU172" s="293"/>
    </row>
    <row r="173" spans="1:47" s="78" customFormat="1" x14ac:dyDescent="0.2">
      <c r="A173" s="135"/>
      <c r="B173" s="135"/>
      <c r="C173" s="112" t="s">
        <v>827</v>
      </c>
      <c r="D173" s="112">
        <v>3</v>
      </c>
      <c r="E173" s="112"/>
      <c r="F173" s="112"/>
      <c r="G173" s="112">
        <v>30</v>
      </c>
      <c r="H173" s="112"/>
      <c r="I173" s="112">
        <v>-60</v>
      </c>
      <c r="J173" s="112"/>
      <c r="K173" s="112">
        <f>$H$74</f>
        <v>55</v>
      </c>
      <c r="L173" s="112"/>
      <c r="M173" s="112">
        <f>$K$176/100*K173</f>
        <v>0.13750000000000001</v>
      </c>
      <c r="N173" s="112"/>
      <c r="O173" s="112"/>
      <c r="P173" s="112"/>
      <c r="Q173" s="112"/>
      <c r="R173" s="112">
        <v>49.94</v>
      </c>
      <c r="S173" s="112">
        <v>19</v>
      </c>
      <c r="T173" s="112"/>
      <c r="U173" s="112">
        <v>5</v>
      </c>
      <c r="V173" s="112"/>
      <c r="W173" s="112"/>
      <c r="X173" s="112"/>
      <c r="Y173" s="112"/>
      <c r="Z173" s="112"/>
      <c r="AA173" s="112"/>
      <c r="AB173" s="112"/>
      <c r="AC173" s="112"/>
      <c r="AD173" s="112"/>
      <c r="AE173" s="112"/>
      <c r="AF173" s="112"/>
      <c r="AG173" s="112"/>
      <c r="AH173" s="112"/>
      <c r="AI173" s="112"/>
      <c r="AJ173" s="112"/>
      <c r="AK173" s="112"/>
      <c r="AL173" s="112"/>
      <c r="AM173" s="112"/>
      <c r="AN173" s="112"/>
      <c r="AO173" s="112"/>
      <c r="AP173" s="112"/>
      <c r="AQ173" s="112"/>
      <c r="AR173" s="112"/>
      <c r="AS173" s="112"/>
      <c r="AT173" s="112"/>
      <c r="AU173" s="293"/>
    </row>
    <row r="174" spans="1:47" s="78" customFormat="1" x14ac:dyDescent="0.2">
      <c r="A174" s="135"/>
      <c r="B174" s="135"/>
      <c r="C174" s="112" t="s">
        <v>827</v>
      </c>
      <c r="D174" s="112">
        <v>4</v>
      </c>
      <c r="E174" s="112"/>
      <c r="F174" s="112"/>
      <c r="G174" s="112">
        <v>45</v>
      </c>
      <c r="H174" s="112"/>
      <c r="I174" s="112">
        <v>-45</v>
      </c>
      <c r="J174" s="112"/>
      <c r="K174" s="112">
        <f>$H$75</f>
        <v>45</v>
      </c>
      <c r="L174" s="112"/>
      <c r="M174" s="112">
        <f>$K$177/100*K174</f>
        <v>2.6999999999999996E-2</v>
      </c>
      <c r="N174" s="112"/>
      <c r="O174" s="112"/>
      <c r="P174" s="112"/>
      <c r="Q174" s="112"/>
      <c r="R174" s="112"/>
      <c r="S174" s="112"/>
      <c r="T174" s="112"/>
      <c r="U174" s="112"/>
      <c r="V174" s="112"/>
      <c r="W174" s="112"/>
      <c r="X174" s="112"/>
      <c r="Y174" s="112"/>
      <c r="Z174" s="112"/>
      <c r="AA174" s="112"/>
      <c r="AB174" s="112"/>
      <c r="AC174" s="112"/>
      <c r="AD174" s="112"/>
      <c r="AE174" s="112"/>
      <c r="AF174" s="112"/>
      <c r="AG174" s="112"/>
      <c r="AH174" s="112"/>
      <c r="AI174" s="112"/>
      <c r="AJ174" s="112"/>
      <c r="AK174" s="112"/>
      <c r="AL174" s="112"/>
      <c r="AM174" s="112"/>
      <c r="AN174" s="112"/>
      <c r="AO174" s="112"/>
      <c r="AP174" s="112"/>
      <c r="AQ174" s="112"/>
      <c r="AR174" s="112"/>
      <c r="AS174" s="112"/>
      <c r="AT174" s="112"/>
      <c r="AU174" s="293"/>
    </row>
    <row r="175" spans="1:47" s="78" customFormat="1" x14ac:dyDescent="0.2">
      <c r="A175" s="135"/>
      <c r="B175" s="135"/>
      <c r="C175" s="112"/>
      <c r="D175" s="112">
        <v>5</v>
      </c>
      <c r="E175" s="112"/>
      <c r="F175" s="112"/>
      <c r="G175" s="112">
        <v>60</v>
      </c>
      <c r="H175" s="112"/>
      <c r="I175" s="112">
        <v>-30</v>
      </c>
      <c r="J175" s="112"/>
      <c r="K175" s="112"/>
      <c r="L175" s="112"/>
      <c r="M175" s="112">
        <f>SUM(M173:M174)</f>
        <v>0.16450000000000001</v>
      </c>
      <c r="N175" s="112"/>
      <c r="O175" s="112"/>
      <c r="P175" s="112"/>
      <c r="Q175" s="112"/>
      <c r="R175" s="112"/>
      <c r="S175" s="112"/>
      <c r="T175" s="112"/>
      <c r="U175" s="112"/>
      <c r="V175" s="112"/>
      <c r="W175" s="112"/>
      <c r="X175" s="112"/>
      <c r="Y175" s="112"/>
      <c r="Z175" s="112"/>
      <c r="AA175" s="112"/>
      <c r="AB175" s="112"/>
      <c r="AC175" s="112"/>
      <c r="AD175" s="112"/>
      <c r="AE175" s="112"/>
      <c r="AF175" s="112"/>
      <c r="AG175" s="112"/>
      <c r="AH175" s="112"/>
      <c r="AI175" s="112"/>
      <c r="AJ175" s="112"/>
      <c r="AK175" s="112"/>
      <c r="AL175" s="112"/>
      <c r="AM175" s="112"/>
      <c r="AN175" s="112"/>
      <c r="AO175" s="112"/>
      <c r="AP175" s="112"/>
      <c r="AQ175" s="112"/>
      <c r="AR175" s="112"/>
      <c r="AS175" s="112"/>
      <c r="AT175" s="112"/>
      <c r="AU175" s="293"/>
    </row>
    <row r="176" spans="1:47" s="78" customFormat="1" x14ac:dyDescent="0.2">
      <c r="A176" s="135"/>
      <c r="B176" s="135"/>
      <c r="C176" s="112"/>
      <c r="D176" s="112">
        <v>6</v>
      </c>
      <c r="E176" s="112"/>
      <c r="F176" s="112"/>
      <c r="G176" s="112">
        <v>75</v>
      </c>
      <c r="H176" s="112"/>
      <c r="I176" s="112">
        <v>-15</v>
      </c>
      <c r="J176" s="112"/>
      <c r="K176" s="112">
        <f>$H$77</f>
        <v>0.25</v>
      </c>
      <c r="L176" s="112"/>
      <c r="M176" s="112"/>
      <c r="N176" s="112"/>
      <c r="O176" s="112"/>
      <c r="P176" s="112"/>
      <c r="Q176" s="112"/>
      <c r="R176" s="112">
        <f>R173*((1+S173/100))^U173</f>
        <v>119.17450177540599</v>
      </c>
      <c r="S176" s="112"/>
      <c r="T176" s="112"/>
      <c r="U176" s="112"/>
      <c r="V176" s="112"/>
      <c r="W176" s="112"/>
      <c r="X176" s="112"/>
      <c r="Y176" s="112"/>
      <c r="Z176" s="112"/>
      <c r="AA176" s="112"/>
      <c r="AB176" s="112"/>
      <c r="AC176" s="112"/>
      <c r="AD176" s="112"/>
      <c r="AE176" s="112"/>
      <c r="AF176" s="112"/>
      <c r="AG176" s="112"/>
      <c r="AH176" s="112"/>
      <c r="AI176" s="112"/>
      <c r="AJ176" s="112"/>
      <c r="AK176" s="112"/>
      <c r="AL176" s="112"/>
      <c r="AM176" s="112"/>
      <c r="AN176" s="112"/>
      <c r="AO176" s="112"/>
      <c r="AP176" s="112"/>
      <c r="AQ176" s="112"/>
      <c r="AR176" s="112"/>
      <c r="AS176" s="112"/>
      <c r="AT176" s="112"/>
      <c r="AU176" s="293"/>
    </row>
    <row r="177" spans="1:47" s="78" customFormat="1" x14ac:dyDescent="0.2">
      <c r="A177" s="135"/>
      <c r="B177" s="135"/>
      <c r="C177" s="112"/>
      <c r="D177" s="112">
        <v>7</v>
      </c>
      <c r="E177" s="112"/>
      <c r="F177" s="112"/>
      <c r="G177" s="112">
        <v>90</v>
      </c>
      <c r="H177" s="112"/>
      <c r="I177" s="112">
        <v>0</v>
      </c>
      <c r="J177" s="112"/>
      <c r="K177" s="112">
        <f>$H$78</f>
        <v>0.06</v>
      </c>
      <c r="L177" s="112"/>
      <c r="M177" s="112"/>
      <c r="N177" s="112"/>
      <c r="O177" s="112"/>
      <c r="P177" s="112"/>
      <c r="Q177" s="112"/>
      <c r="R177" s="112"/>
      <c r="S177" s="112"/>
      <c r="T177" s="112"/>
      <c r="U177" s="112"/>
      <c r="V177" s="112"/>
      <c r="W177" s="112"/>
      <c r="X177" s="112"/>
      <c r="Y177" s="112"/>
      <c r="Z177" s="112"/>
      <c r="AA177" s="112"/>
      <c r="AB177" s="112"/>
      <c r="AC177" s="112"/>
      <c r="AD177" s="112"/>
      <c r="AE177" s="112"/>
      <c r="AF177" s="112"/>
      <c r="AG177" s="112"/>
      <c r="AH177" s="112"/>
      <c r="AI177" s="112"/>
      <c r="AJ177" s="112"/>
      <c r="AK177" s="112"/>
      <c r="AL177" s="112"/>
      <c r="AM177" s="112"/>
      <c r="AN177" s="112"/>
      <c r="AO177" s="112"/>
      <c r="AP177" s="112"/>
      <c r="AQ177" s="112"/>
      <c r="AR177" s="112"/>
      <c r="AS177" s="112"/>
      <c r="AT177" s="112"/>
      <c r="AU177" s="293"/>
    </row>
    <row r="178" spans="1:47" s="78" customFormat="1" x14ac:dyDescent="0.2">
      <c r="A178" s="135"/>
      <c r="B178" s="135"/>
      <c r="C178" s="112"/>
      <c r="D178" s="112">
        <v>8</v>
      </c>
      <c r="E178" s="112"/>
      <c r="F178" s="112"/>
      <c r="G178" s="112"/>
      <c r="H178" s="112"/>
      <c r="I178" s="112">
        <v>15</v>
      </c>
      <c r="J178" s="112"/>
      <c r="K178" s="112"/>
      <c r="L178" s="112"/>
      <c r="M178" s="112"/>
      <c r="N178" s="112"/>
      <c r="O178" s="112"/>
      <c r="P178" s="112"/>
      <c r="Q178" s="112"/>
      <c r="R178" s="112"/>
      <c r="S178" s="112"/>
      <c r="T178" s="112"/>
      <c r="U178" s="112"/>
      <c r="V178" s="112"/>
      <c r="W178" s="112"/>
      <c r="X178" s="112"/>
      <c r="Y178" s="112"/>
      <c r="Z178" s="112"/>
      <c r="AA178" s="112"/>
      <c r="AB178" s="112"/>
      <c r="AC178" s="112"/>
      <c r="AD178" s="112"/>
      <c r="AE178" s="112"/>
      <c r="AF178" s="112"/>
      <c r="AG178" s="112"/>
      <c r="AH178" s="112"/>
      <c r="AI178" s="112"/>
      <c r="AJ178" s="112"/>
      <c r="AK178" s="112"/>
      <c r="AL178" s="112"/>
      <c r="AM178" s="112"/>
      <c r="AN178" s="112"/>
      <c r="AO178" s="112"/>
      <c r="AP178" s="112"/>
      <c r="AQ178" s="112"/>
      <c r="AR178" s="112"/>
      <c r="AS178" s="112"/>
      <c r="AT178" s="112"/>
      <c r="AU178" s="293"/>
    </row>
    <row r="179" spans="1:47" s="78" customFormat="1" x14ac:dyDescent="0.2">
      <c r="A179" s="135"/>
      <c r="B179" s="135"/>
      <c r="C179" s="112"/>
      <c r="D179" s="112">
        <v>9</v>
      </c>
      <c r="E179" s="112"/>
      <c r="F179" s="112"/>
      <c r="G179" s="112"/>
      <c r="H179" s="112"/>
      <c r="I179" s="112">
        <v>30</v>
      </c>
      <c r="J179" s="112"/>
      <c r="K179" s="112"/>
      <c r="L179" s="112"/>
      <c r="M179" s="112"/>
      <c r="N179" s="112"/>
      <c r="O179" s="112"/>
      <c r="P179" s="112"/>
      <c r="Q179" s="112"/>
      <c r="R179" s="112"/>
      <c r="S179" s="112"/>
      <c r="T179" s="112"/>
      <c r="U179" s="112"/>
      <c r="V179" s="112"/>
      <c r="W179" s="112"/>
      <c r="X179" s="112"/>
      <c r="Y179" s="112"/>
      <c r="Z179" s="112"/>
      <c r="AA179" s="112"/>
      <c r="AB179" s="112"/>
      <c r="AC179" s="112"/>
      <c r="AD179" s="112"/>
      <c r="AE179" s="112"/>
      <c r="AF179" s="112"/>
      <c r="AG179" s="112"/>
      <c r="AH179" s="112"/>
      <c r="AI179" s="112"/>
      <c r="AJ179" s="112"/>
      <c r="AK179" s="112"/>
      <c r="AL179" s="112"/>
      <c r="AM179" s="112"/>
      <c r="AN179" s="112"/>
      <c r="AO179" s="112"/>
      <c r="AP179" s="112"/>
      <c r="AQ179" s="112"/>
      <c r="AR179" s="112"/>
      <c r="AS179" s="112"/>
      <c r="AT179" s="112"/>
      <c r="AU179" s="293"/>
    </row>
    <row r="180" spans="1:47" s="78" customFormat="1" x14ac:dyDescent="0.2">
      <c r="A180" s="135"/>
      <c r="B180" s="135"/>
      <c r="C180" s="112"/>
      <c r="D180" s="112">
        <v>10</v>
      </c>
      <c r="E180" s="112"/>
      <c r="F180" s="112"/>
      <c r="G180" s="112"/>
      <c r="H180" s="112"/>
      <c r="I180" s="112">
        <v>45</v>
      </c>
      <c r="J180" s="112"/>
      <c r="K180" s="112"/>
      <c r="L180" s="112"/>
      <c r="M180" s="112"/>
      <c r="N180" s="112"/>
      <c r="O180" s="112"/>
      <c r="P180" s="112"/>
      <c r="Q180" s="112"/>
      <c r="R180" s="112"/>
      <c r="S180" s="112"/>
      <c r="T180" s="112"/>
      <c r="U180" s="112"/>
      <c r="V180" s="112"/>
      <c r="W180" s="112"/>
      <c r="X180" s="112"/>
      <c r="Y180" s="112"/>
      <c r="Z180" s="112"/>
      <c r="AA180" s="112"/>
      <c r="AB180" s="112"/>
      <c r="AC180" s="112"/>
      <c r="AD180" s="112"/>
      <c r="AE180" s="112"/>
      <c r="AF180" s="112"/>
      <c r="AG180" s="112"/>
      <c r="AH180" s="112"/>
      <c r="AI180" s="112"/>
      <c r="AJ180" s="112"/>
      <c r="AK180" s="112"/>
      <c r="AL180" s="112"/>
      <c r="AM180" s="112"/>
      <c r="AN180" s="112"/>
      <c r="AO180" s="112"/>
      <c r="AP180" s="112"/>
      <c r="AQ180" s="112"/>
      <c r="AR180" s="112"/>
      <c r="AS180" s="112"/>
      <c r="AT180" s="112"/>
      <c r="AU180" s="293"/>
    </row>
    <row r="181" spans="1:47" s="78" customFormat="1" x14ac:dyDescent="0.2">
      <c r="A181" s="135"/>
      <c r="B181" s="135"/>
      <c r="C181" s="112"/>
      <c r="D181" s="112">
        <v>11</v>
      </c>
      <c r="E181" s="112"/>
      <c r="F181" s="112"/>
      <c r="G181" s="112"/>
      <c r="H181" s="112"/>
      <c r="I181" s="112">
        <v>60</v>
      </c>
      <c r="J181" s="112"/>
      <c r="K181" s="112" t="s">
        <v>2041</v>
      </c>
      <c r="L181" s="112"/>
      <c r="M181" s="112">
        <f>IF(Berechnungen!L87=0,1,0)</f>
        <v>1</v>
      </c>
      <c r="N181" s="112"/>
      <c r="O181" s="112"/>
      <c r="P181" s="112"/>
      <c r="Q181" s="112"/>
      <c r="R181" s="112"/>
      <c r="S181" s="112"/>
      <c r="T181" s="112"/>
      <c r="U181" s="112"/>
      <c r="V181" s="112"/>
      <c r="W181" s="112"/>
      <c r="X181" s="112"/>
      <c r="Y181" s="388" t="s">
        <v>2740</v>
      </c>
      <c r="Z181" s="112"/>
      <c r="AA181" s="112"/>
      <c r="AB181" s="112"/>
      <c r="AC181" s="112"/>
      <c r="AD181" s="112"/>
      <c r="AE181" s="112"/>
      <c r="AF181" s="112"/>
      <c r="AG181" s="112"/>
      <c r="AH181" s="112"/>
      <c r="AI181" s="112"/>
      <c r="AJ181" s="112"/>
      <c r="AK181" s="112"/>
      <c r="AL181" s="112"/>
      <c r="AM181" s="112"/>
      <c r="AN181" s="112"/>
      <c r="AO181" s="112"/>
      <c r="AP181" s="112"/>
      <c r="AQ181" s="112"/>
      <c r="AR181" s="112"/>
      <c r="AS181" s="112"/>
      <c r="AT181" s="112"/>
      <c r="AU181" s="293"/>
    </row>
    <row r="182" spans="1:47" s="78" customFormat="1" x14ac:dyDescent="0.2">
      <c r="A182" s="135"/>
      <c r="B182" s="135"/>
      <c r="C182" s="112"/>
      <c r="D182" s="112">
        <v>12</v>
      </c>
      <c r="E182" s="112"/>
      <c r="F182" s="112"/>
      <c r="G182" s="112"/>
      <c r="H182" s="112"/>
      <c r="I182" s="112">
        <v>75</v>
      </c>
      <c r="J182" s="112"/>
      <c r="K182" s="112"/>
      <c r="L182" s="112"/>
      <c r="M182" s="112">
        <f>IF(Berechnungen!C7="Fördertarif",1,0)</f>
        <v>0</v>
      </c>
      <c r="N182" s="112"/>
      <c r="O182" s="112"/>
      <c r="P182" s="112"/>
      <c r="Q182" s="112"/>
      <c r="R182" s="112"/>
      <c r="S182" s="112"/>
      <c r="T182" s="112"/>
      <c r="U182" s="112"/>
      <c r="V182" s="112"/>
      <c r="W182" s="112"/>
      <c r="X182" s="112"/>
      <c r="Y182" s="112"/>
      <c r="Z182" s="112"/>
      <c r="AA182" s="112"/>
      <c r="AB182" s="112"/>
      <c r="AC182" s="112"/>
      <c r="AD182" s="112"/>
      <c r="AE182" s="112"/>
      <c r="AF182" s="112"/>
      <c r="AG182" s="112"/>
      <c r="AH182" s="112"/>
      <c r="AI182" s="112"/>
      <c r="AJ182" s="112"/>
      <c r="AK182" s="112"/>
      <c r="AL182" s="112"/>
      <c r="AM182" s="112"/>
      <c r="AN182" s="112"/>
      <c r="AO182" s="112"/>
      <c r="AP182" s="112"/>
      <c r="AQ182" s="112"/>
      <c r="AR182" s="112"/>
      <c r="AS182" s="112"/>
      <c r="AT182" s="112"/>
      <c r="AU182" s="293"/>
    </row>
    <row r="183" spans="1:47" s="78" customFormat="1" x14ac:dyDescent="0.2">
      <c r="A183" s="135"/>
      <c r="B183" s="135"/>
      <c r="C183" s="112"/>
      <c r="D183" s="112">
        <v>13</v>
      </c>
      <c r="E183" s="112"/>
      <c r="F183" s="112"/>
      <c r="G183" s="112"/>
      <c r="H183" s="112"/>
      <c r="I183" s="112">
        <v>90</v>
      </c>
      <c r="J183" s="112"/>
      <c r="K183" s="112"/>
      <c r="L183" s="112"/>
      <c r="M183" s="112">
        <f>SUM(M181:M182)</f>
        <v>1</v>
      </c>
      <c r="N183" s="112"/>
      <c r="O183" s="112"/>
      <c r="P183" s="112"/>
      <c r="Q183" s="112"/>
      <c r="R183" s="112"/>
      <c r="S183" s="112"/>
      <c r="T183" s="112"/>
      <c r="U183" s="460"/>
      <c r="V183" s="112"/>
      <c r="W183" s="112"/>
      <c r="X183" s="112"/>
      <c r="Y183" s="112" t="s">
        <v>2736</v>
      </c>
      <c r="Z183" s="112" t="s">
        <v>2737</v>
      </c>
      <c r="AA183" s="112" t="s">
        <v>2742</v>
      </c>
      <c r="AB183" s="112" t="s">
        <v>2739</v>
      </c>
      <c r="AC183" s="112"/>
      <c r="AD183" s="112"/>
      <c r="AE183" s="112"/>
      <c r="AF183" s="112"/>
      <c r="AG183" s="112"/>
      <c r="AH183" s="112"/>
      <c r="AI183" s="112"/>
      <c r="AJ183" s="112"/>
      <c r="AK183" s="112"/>
      <c r="AL183" s="112"/>
      <c r="AM183" s="112"/>
      <c r="AN183" s="112"/>
      <c r="AO183" s="112"/>
      <c r="AP183" s="112"/>
      <c r="AQ183" s="112"/>
      <c r="AR183" s="112"/>
      <c r="AS183" s="112"/>
      <c r="AT183" s="112"/>
      <c r="AU183" s="293"/>
    </row>
    <row r="184" spans="1:47" s="78" customFormat="1" x14ac:dyDescent="0.2">
      <c r="A184" s="135"/>
      <c r="B184" s="135"/>
      <c r="C184" s="112"/>
      <c r="D184" s="112">
        <v>14</v>
      </c>
      <c r="E184" s="112"/>
      <c r="F184" s="112"/>
      <c r="G184" s="112"/>
      <c r="H184" s="112"/>
      <c r="I184" s="112"/>
      <c r="J184" s="112"/>
      <c r="K184" s="112"/>
      <c r="L184" s="112"/>
      <c r="M184" s="112"/>
      <c r="N184" s="112"/>
      <c r="O184" s="112"/>
      <c r="P184" s="112"/>
      <c r="Q184" s="112"/>
      <c r="R184" s="116"/>
      <c r="S184" s="112"/>
      <c r="T184" s="112"/>
      <c r="U184" s="112"/>
      <c r="V184" s="112"/>
      <c r="W184" s="112"/>
      <c r="X184" s="112"/>
      <c r="Y184" s="112" t="s">
        <v>2165</v>
      </c>
      <c r="Z184" s="112" t="s">
        <v>2165</v>
      </c>
      <c r="AA184" s="112" t="s">
        <v>2741</v>
      </c>
      <c r="AB184" s="112" t="s">
        <v>2738</v>
      </c>
      <c r="AC184" s="112"/>
      <c r="AD184" s="112"/>
      <c r="AE184" s="112"/>
      <c r="AF184" s="112"/>
      <c r="AG184" s="112"/>
      <c r="AH184" s="112"/>
      <c r="AI184" s="112"/>
      <c r="AJ184" s="112"/>
      <c r="AK184" s="112"/>
      <c r="AL184" s="112"/>
      <c r="AM184" s="112"/>
      <c r="AN184" s="112"/>
      <c r="AO184" s="112"/>
      <c r="AP184" s="112"/>
      <c r="AQ184" s="112"/>
      <c r="AR184" s="112"/>
      <c r="AS184" s="112"/>
      <c r="AT184" s="112"/>
      <c r="AU184" s="293"/>
    </row>
    <row r="185" spans="1:47" s="78" customFormat="1" x14ac:dyDescent="0.2">
      <c r="A185" s="135"/>
      <c r="B185" s="135"/>
      <c r="C185" s="112"/>
      <c r="D185" s="112">
        <v>15</v>
      </c>
      <c r="E185" s="112"/>
      <c r="F185" s="112"/>
      <c r="G185" s="112"/>
      <c r="H185" s="112"/>
      <c r="I185" s="112"/>
      <c r="J185" s="112"/>
      <c r="K185" s="112"/>
      <c r="L185" s="112"/>
      <c r="M185" s="112"/>
      <c r="N185" s="112"/>
      <c r="O185" s="112"/>
      <c r="P185" s="112"/>
      <c r="Q185" s="112"/>
      <c r="R185" s="112"/>
      <c r="S185" s="112"/>
      <c r="T185" s="112"/>
      <c r="U185" s="112"/>
      <c r="V185" s="112"/>
      <c r="W185" s="112"/>
      <c r="X185" s="112"/>
      <c r="Y185" s="112">
        <v>1</v>
      </c>
      <c r="Z185" s="112">
        <v>10</v>
      </c>
      <c r="AA185" s="112">
        <v>160</v>
      </c>
      <c r="AB185" s="448">
        <v>0.3</v>
      </c>
      <c r="AC185" s="112"/>
      <c r="AD185" s="112"/>
      <c r="AE185" s="112"/>
      <c r="AF185" s="112"/>
      <c r="AG185" s="112"/>
      <c r="AH185" s="112"/>
      <c r="AI185" s="112"/>
      <c r="AJ185" s="112"/>
      <c r="AK185" s="112"/>
      <c r="AL185" s="112"/>
      <c r="AM185" s="112"/>
      <c r="AN185" s="112"/>
      <c r="AO185" s="112"/>
      <c r="AP185" s="112"/>
      <c r="AQ185" s="112"/>
      <c r="AR185" s="112"/>
      <c r="AS185" s="112"/>
      <c r="AT185" s="112"/>
      <c r="AU185" s="293"/>
    </row>
    <row r="186" spans="1:47" s="78" customFormat="1" x14ac:dyDescent="0.2">
      <c r="A186" s="135"/>
      <c r="B186" s="135"/>
      <c r="C186" s="112"/>
      <c r="D186" s="112"/>
      <c r="E186" s="112"/>
      <c r="F186" s="112"/>
      <c r="G186" s="112"/>
      <c r="H186" s="112"/>
      <c r="I186" s="112"/>
      <c r="J186" s="112"/>
      <c r="K186" s="112"/>
      <c r="L186" s="112"/>
      <c r="M186" s="112"/>
      <c r="N186" s="112"/>
      <c r="O186" s="112"/>
      <c r="P186" s="112"/>
      <c r="Q186" s="112"/>
      <c r="R186" s="112"/>
      <c r="S186" s="112"/>
      <c r="T186" s="112"/>
      <c r="U186" s="112"/>
      <c r="V186" s="112"/>
      <c r="W186" s="112"/>
      <c r="X186" s="112"/>
      <c r="Y186" s="112">
        <v>11</v>
      </c>
      <c r="Z186" s="112">
        <v>20</v>
      </c>
      <c r="AA186" s="112">
        <v>150</v>
      </c>
      <c r="AB186" s="448">
        <v>0.3</v>
      </c>
      <c r="AC186" s="112"/>
      <c r="AD186" s="112"/>
      <c r="AE186" s="112"/>
      <c r="AF186" s="112"/>
      <c r="AG186" s="112"/>
      <c r="AH186" s="112"/>
      <c r="AI186" s="112"/>
      <c r="AJ186" s="112"/>
      <c r="AK186" s="112"/>
      <c r="AL186" s="112"/>
      <c r="AM186" s="112"/>
      <c r="AN186" s="112"/>
      <c r="AO186" s="112"/>
      <c r="AP186" s="112"/>
      <c r="AQ186" s="112"/>
      <c r="AR186" s="112"/>
      <c r="AS186" s="112"/>
      <c r="AT186" s="112"/>
      <c r="AU186" s="293"/>
    </row>
    <row r="187" spans="1:47" s="78" customFormat="1" x14ac:dyDescent="0.2">
      <c r="A187" s="135"/>
      <c r="B187" s="135"/>
      <c r="C187" s="112"/>
      <c r="D187" s="112"/>
      <c r="E187" s="112"/>
      <c r="F187" s="112"/>
      <c r="G187" s="112"/>
      <c r="H187" s="112"/>
      <c r="I187" s="112"/>
      <c r="J187" s="112"/>
      <c r="K187" s="112"/>
      <c r="L187" s="112"/>
      <c r="M187" s="112"/>
      <c r="N187" s="112"/>
      <c r="O187" s="112"/>
      <c r="P187" s="112"/>
      <c r="Q187" s="112"/>
      <c r="R187" s="112"/>
      <c r="S187" s="112"/>
      <c r="T187" s="112"/>
      <c r="U187" s="112"/>
      <c r="V187" s="112"/>
      <c r="W187" s="112"/>
      <c r="X187" s="112"/>
      <c r="Y187" s="112">
        <v>21</v>
      </c>
      <c r="Z187" s="112">
        <v>100</v>
      </c>
      <c r="AA187" s="112">
        <v>140</v>
      </c>
      <c r="AB187" s="448">
        <v>0.3</v>
      </c>
      <c r="AC187" s="112"/>
      <c r="AD187" s="112"/>
      <c r="AE187" s="112"/>
      <c r="AF187" s="112"/>
      <c r="AG187" s="112"/>
      <c r="AH187" s="112"/>
      <c r="AI187" s="112"/>
      <c r="AJ187" s="112"/>
      <c r="AK187" s="112"/>
      <c r="AL187" s="112"/>
      <c r="AM187" s="112"/>
      <c r="AN187" s="112"/>
      <c r="AO187" s="112"/>
      <c r="AP187" s="112"/>
      <c r="AQ187" s="112"/>
      <c r="AR187" s="112"/>
      <c r="AS187" s="112"/>
      <c r="AT187" s="112"/>
      <c r="AU187" s="293"/>
    </row>
    <row r="188" spans="1:47" s="78" customFormat="1" x14ac:dyDescent="0.2">
      <c r="A188" s="135"/>
      <c r="B188" s="135"/>
      <c r="C188" s="112"/>
      <c r="D188" s="112"/>
      <c r="E188" s="112"/>
      <c r="F188" s="112"/>
      <c r="G188" s="112" t="s">
        <v>1241</v>
      </c>
      <c r="H188" s="112" t="str">
        <f>Berechnungen!F6</f>
        <v>W</v>
      </c>
      <c r="I188" s="112"/>
      <c r="J188" s="112"/>
      <c r="K188" s="112"/>
      <c r="L188" s="112"/>
      <c r="M188" s="112"/>
      <c r="N188" s="112"/>
      <c r="O188" s="112"/>
      <c r="P188" s="112"/>
      <c r="Q188" s="112"/>
      <c r="R188" s="112"/>
      <c r="S188" s="112"/>
      <c r="T188" s="112"/>
      <c r="U188" s="112"/>
      <c r="V188" s="112"/>
      <c r="W188" s="112"/>
      <c r="X188" s="112"/>
      <c r="Y188" s="112">
        <v>101</v>
      </c>
      <c r="Z188" s="112">
        <v>1000</v>
      </c>
      <c r="AA188" s="112">
        <v>130</v>
      </c>
      <c r="AB188" s="448">
        <v>0.3</v>
      </c>
      <c r="AC188" s="112"/>
      <c r="AD188" s="112"/>
      <c r="AE188" s="112"/>
      <c r="AF188" s="112"/>
      <c r="AG188" s="112"/>
      <c r="AH188" s="112"/>
      <c r="AI188" s="112"/>
      <c r="AJ188" s="112"/>
      <c r="AK188" s="112"/>
      <c r="AL188" s="112"/>
      <c r="AM188" s="112"/>
      <c r="AN188" s="112"/>
      <c r="AO188" s="112"/>
      <c r="AP188" s="112"/>
      <c r="AQ188" s="112"/>
      <c r="AR188" s="112"/>
      <c r="AS188" s="112"/>
      <c r="AT188" s="112"/>
      <c r="AU188" s="293"/>
    </row>
    <row r="189" spans="1:47" s="78" customFormat="1" x14ac:dyDescent="0.2">
      <c r="A189" s="135"/>
      <c r="B189" s="135"/>
      <c r="C189" s="112" t="s">
        <v>2628</v>
      </c>
      <c r="D189" s="112"/>
      <c r="E189" s="112"/>
      <c r="F189" s="112"/>
      <c r="G189" s="112"/>
      <c r="H189" s="112"/>
      <c r="I189" s="112"/>
      <c r="J189" s="112"/>
      <c r="K189" s="112"/>
      <c r="L189" s="112"/>
      <c r="M189" s="112"/>
      <c r="N189" s="112"/>
      <c r="O189" s="112"/>
      <c r="P189" s="112"/>
      <c r="Q189" s="112"/>
      <c r="R189" s="112"/>
      <c r="S189" s="112"/>
      <c r="T189" s="112"/>
      <c r="U189" s="112"/>
      <c r="V189" s="112"/>
      <c r="W189" s="112"/>
      <c r="X189" s="112"/>
      <c r="Y189" s="112"/>
      <c r="Z189" s="112"/>
      <c r="AA189" s="112"/>
      <c r="AB189" s="112"/>
      <c r="AC189" s="112"/>
      <c r="AD189" s="112"/>
      <c r="AE189" s="112"/>
      <c r="AF189" s="112"/>
      <c r="AG189" s="112"/>
      <c r="AH189" s="112"/>
      <c r="AI189" s="112"/>
      <c r="AJ189" s="112"/>
      <c r="AK189" s="112"/>
      <c r="AL189" s="112"/>
      <c r="AM189" s="112"/>
      <c r="AN189" s="112"/>
      <c r="AO189" s="112"/>
      <c r="AP189" s="112"/>
      <c r="AQ189" s="112"/>
      <c r="AR189" s="112"/>
      <c r="AS189" s="112"/>
      <c r="AT189" s="112"/>
      <c r="AU189" s="293"/>
    </row>
    <row r="190" spans="1:47" s="78" customFormat="1" x14ac:dyDescent="0.2">
      <c r="A190" s="135"/>
      <c r="B190" s="135"/>
      <c r="C190" s="112" t="s">
        <v>2629</v>
      </c>
      <c r="D190" s="112"/>
      <c r="E190" s="112"/>
      <c r="F190" s="112"/>
      <c r="G190" s="112"/>
      <c r="H190" s="112"/>
      <c r="I190" s="112"/>
      <c r="J190" s="112"/>
      <c r="K190" s="112"/>
      <c r="L190" s="112"/>
      <c r="M190" s="112"/>
      <c r="N190" s="112"/>
      <c r="O190" s="112"/>
      <c r="P190" s="112"/>
      <c r="Q190" s="112"/>
      <c r="R190" s="112"/>
      <c r="S190" s="112"/>
      <c r="T190" s="112"/>
      <c r="U190" s="112"/>
      <c r="V190" s="112"/>
      <c r="W190" s="112"/>
      <c r="X190" s="112"/>
      <c r="Y190" s="112"/>
      <c r="Z190" s="112"/>
      <c r="AA190" s="112">
        <f>IF(Anlagenleistung&lt;=Z185,AA185*Anlagenleistung,IF(Anlagenleistung&lt;=Z186,AA186*Anlagenleistung,IF(Anlagenleistung&lt;=Z187,AA187*Anlagenleistung,IF(Anlagenleistung&lt;=Z188,AA188*Anlagenleistung,0))))</f>
        <v>960</v>
      </c>
      <c r="AB190" s="112">
        <f>GesamtkostenAnlage*AB188</f>
        <v>2700</v>
      </c>
      <c r="AC190" s="112" t="s">
        <v>2741</v>
      </c>
      <c r="AD190" s="112"/>
      <c r="AE190" s="112"/>
      <c r="AF190" s="112"/>
      <c r="AG190" s="112"/>
      <c r="AH190" s="112"/>
      <c r="AI190" s="112"/>
      <c r="AJ190" s="112"/>
      <c r="AK190" s="112"/>
      <c r="AL190" s="112"/>
      <c r="AM190" s="112"/>
      <c r="AN190" s="112"/>
      <c r="AO190" s="112"/>
      <c r="AP190" s="112"/>
      <c r="AQ190" s="112"/>
      <c r="AR190" s="112"/>
      <c r="AS190" s="112"/>
      <c r="AT190" s="112"/>
      <c r="AU190" s="293"/>
    </row>
    <row r="191" spans="1:47" s="78" customFormat="1" x14ac:dyDescent="0.2">
      <c r="A191" s="135"/>
      <c r="B191" s="135"/>
      <c r="C191" s="112" t="s">
        <v>2630</v>
      </c>
      <c r="D191" s="112"/>
      <c r="E191" s="112"/>
      <c r="F191" s="112"/>
      <c r="G191" s="112"/>
      <c r="H191" s="112"/>
      <c r="I191" s="112"/>
      <c r="J191" s="112"/>
      <c r="K191" s="112"/>
      <c r="L191" s="112"/>
      <c r="M191" s="112"/>
      <c r="N191" s="112"/>
      <c r="O191" s="112"/>
      <c r="P191" s="112"/>
      <c r="Q191" s="112"/>
      <c r="R191" s="112"/>
      <c r="S191" s="112"/>
      <c r="T191" s="112"/>
      <c r="U191" s="112"/>
      <c r="V191" s="112"/>
      <c r="W191" s="112"/>
      <c r="X191" s="112"/>
      <c r="Y191" s="112"/>
      <c r="Z191" s="112"/>
      <c r="AA191" s="112"/>
      <c r="AB191" s="112"/>
      <c r="AC191" s="112"/>
      <c r="AD191" s="112"/>
      <c r="AE191" s="112"/>
      <c r="AF191" s="112"/>
      <c r="AG191" s="112"/>
      <c r="AH191" s="112"/>
      <c r="AI191" s="112"/>
      <c r="AJ191" s="112"/>
      <c r="AK191" s="112"/>
      <c r="AL191" s="112"/>
      <c r="AM191" s="112"/>
      <c r="AN191" s="112"/>
      <c r="AO191" s="112"/>
      <c r="AP191" s="112"/>
      <c r="AQ191" s="112"/>
      <c r="AR191" s="112"/>
      <c r="AS191" s="112"/>
      <c r="AT191" s="112"/>
      <c r="AU191" s="293"/>
    </row>
    <row r="192" spans="1:47" s="78" customFormat="1" x14ac:dyDescent="0.2">
      <c r="A192" s="135"/>
      <c r="B192" s="135"/>
      <c r="C192" s="112" t="s">
        <v>2631</v>
      </c>
      <c r="D192" s="112"/>
      <c r="E192" s="112"/>
      <c r="F192" s="112"/>
      <c r="G192" s="112"/>
      <c r="H192" s="112"/>
      <c r="I192" s="473" t="s">
        <v>684</v>
      </c>
      <c r="J192" s="473" t="s">
        <v>1563</v>
      </c>
      <c r="K192" s="112"/>
      <c r="L192" s="112"/>
      <c r="M192" s="473" t="s">
        <v>2707</v>
      </c>
      <c r="N192" s="112" t="s">
        <v>1562</v>
      </c>
      <c r="O192" s="112"/>
      <c r="P192" s="112"/>
      <c r="Q192" s="112"/>
      <c r="R192" s="112"/>
      <c r="S192" s="112"/>
      <c r="T192" s="112"/>
      <c r="U192" s="112"/>
      <c r="V192" s="112"/>
      <c r="W192" s="112"/>
      <c r="X192" s="112"/>
      <c r="Y192" s="112"/>
      <c r="Z192" s="112"/>
      <c r="AA192" s="112"/>
      <c r="AB192" s="112"/>
      <c r="AC192" s="112"/>
      <c r="AD192" s="112"/>
      <c r="AE192" s="112"/>
      <c r="AF192" s="112"/>
      <c r="AG192" s="112"/>
      <c r="AH192" s="112"/>
      <c r="AI192" s="112"/>
      <c r="AJ192" s="112"/>
      <c r="AK192" s="112"/>
      <c r="AL192" s="112"/>
      <c r="AM192" s="112"/>
      <c r="AN192" s="112"/>
      <c r="AO192" s="112"/>
      <c r="AP192" s="112"/>
      <c r="AQ192" s="112"/>
      <c r="AR192" s="112"/>
      <c r="AS192" s="112"/>
      <c r="AT192" s="112"/>
      <c r="AU192" s="293"/>
    </row>
    <row r="193" spans="1:47" s="78" customFormat="1" x14ac:dyDescent="0.2">
      <c r="A193" s="135"/>
      <c r="B193" s="135"/>
      <c r="C193" s="112"/>
      <c r="D193" s="112"/>
      <c r="E193" s="112"/>
      <c r="F193" s="112"/>
      <c r="G193" s="112"/>
      <c r="H193" s="112" t="s">
        <v>1561</v>
      </c>
      <c r="I193" s="461" t="str">
        <f>H93</f>
        <v>-</v>
      </c>
      <c r="J193" s="112">
        <f>F220</f>
        <v>1500</v>
      </c>
      <c r="K193" s="112"/>
      <c r="L193" s="112"/>
      <c r="M193" s="112">
        <f>G220</f>
        <v>0</v>
      </c>
      <c r="N193" s="461">
        <f>H94</f>
        <v>7230</v>
      </c>
      <c r="O193" s="112"/>
      <c r="P193" s="112"/>
      <c r="Q193" s="112"/>
      <c r="R193" s="112"/>
      <c r="S193" s="112"/>
      <c r="T193" s="112"/>
      <c r="U193" s="112"/>
      <c r="V193" s="112"/>
      <c r="W193" s="112"/>
      <c r="X193" s="112"/>
      <c r="Y193" s="388" t="s">
        <v>2757</v>
      </c>
      <c r="Z193" s="112"/>
      <c r="AA193" s="112"/>
      <c r="AB193" s="112"/>
      <c r="AC193" s="462" t="s">
        <v>2764</v>
      </c>
      <c r="AD193" s="462" t="s">
        <v>2765</v>
      </c>
      <c r="AE193" s="112"/>
      <c r="AF193" s="112"/>
      <c r="AG193" s="112"/>
      <c r="AH193" s="112"/>
      <c r="AI193" s="112"/>
      <c r="AJ193" s="112"/>
      <c r="AK193" s="112"/>
      <c r="AL193" s="112"/>
      <c r="AM193" s="112"/>
      <c r="AN193" s="112"/>
      <c r="AO193" s="112"/>
      <c r="AP193" s="112"/>
      <c r="AQ193" s="112"/>
      <c r="AR193" s="112"/>
      <c r="AS193" s="112"/>
      <c r="AT193" s="112"/>
      <c r="AU193" s="293"/>
    </row>
    <row r="194" spans="1:47" s="78" customFormat="1" x14ac:dyDescent="0.2">
      <c r="A194" s="135"/>
      <c r="B194" s="135"/>
      <c r="C194" s="112"/>
      <c r="D194" s="112"/>
      <c r="E194" s="112"/>
      <c r="F194" s="112"/>
      <c r="G194" s="112"/>
      <c r="H194" s="112"/>
      <c r="I194" s="112"/>
      <c r="J194" s="112"/>
      <c r="K194" s="112"/>
      <c r="L194" s="112"/>
      <c r="M194" s="112"/>
      <c r="N194" s="112"/>
      <c r="O194" s="112"/>
      <c r="P194" s="112"/>
      <c r="Q194" s="112"/>
      <c r="R194" s="112"/>
      <c r="S194" s="112"/>
      <c r="T194" s="112"/>
      <c r="U194" s="112"/>
      <c r="V194" s="112"/>
      <c r="W194" s="112"/>
      <c r="X194" s="112"/>
      <c r="Y194" s="293" t="s">
        <v>2759</v>
      </c>
      <c r="Z194" s="293"/>
      <c r="AA194" s="293"/>
      <c r="AB194" s="293"/>
      <c r="AC194" s="463">
        <v>0</v>
      </c>
      <c r="AD194" s="115">
        <v>0</v>
      </c>
      <c r="AE194" s="112"/>
      <c r="AF194" s="112"/>
      <c r="AG194" s="112"/>
      <c r="AH194" s="112"/>
      <c r="AI194" s="112"/>
      <c r="AJ194" s="112"/>
      <c r="AK194" s="112"/>
      <c r="AL194" s="112"/>
      <c r="AM194" s="112"/>
      <c r="AN194" s="112"/>
      <c r="AO194" s="112"/>
      <c r="AP194" s="112"/>
      <c r="AQ194" s="112"/>
      <c r="AR194" s="112"/>
      <c r="AS194" s="112"/>
      <c r="AT194" s="112"/>
      <c r="AU194" s="293"/>
    </row>
    <row r="195" spans="1:47" s="78" customFormat="1" x14ac:dyDescent="0.2">
      <c r="A195" s="135"/>
      <c r="B195" s="135"/>
      <c r="C195" s="112"/>
      <c r="D195" s="112"/>
      <c r="E195" s="112"/>
      <c r="F195" s="112"/>
      <c r="G195" s="112"/>
      <c r="H195" s="112"/>
      <c r="I195" s="112"/>
      <c r="J195" s="112"/>
      <c r="K195" s="112"/>
      <c r="L195" s="112"/>
      <c r="M195" s="112"/>
      <c r="N195" s="112"/>
      <c r="O195" s="112"/>
      <c r="P195" s="112"/>
      <c r="Q195" s="112"/>
      <c r="R195" s="112"/>
      <c r="S195" s="112"/>
      <c r="T195" s="112"/>
      <c r="U195" s="112"/>
      <c r="V195" s="112"/>
      <c r="W195" s="112"/>
      <c r="X195" s="112"/>
      <c r="Y195" s="112" t="s">
        <v>2760</v>
      </c>
      <c r="Z195" s="112"/>
      <c r="AA195" s="112"/>
      <c r="AB195" s="112"/>
      <c r="AC195" s="464">
        <v>0.1</v>
      </c>
      <c r="AD195" s="115">
        <f>modulKosten*AC195</f>
        <v>270</v>
      </c>
      <c r="AE195" s="112"/>
      <c r="AF195" s="112"/>
      <c r="AG195" s="112"/>
      <c r="AH195" s="112"/>
      <c r="AI195" s="112"/>
      <c r="AJ195" s="112"/>
      <c r="AK195" s="112"/>
      <c r="AL195" s="112"/>
      <c r="AM195" s="112"/>
      <c r="AN195" s="112"/>
      <c r="AO195" s="112"/>
      <c r="AP195" s="112"/>
      <c r="AQ195" s="112"/>
      <c r="AR195" s="112"/>
      <c r="AS195" s="112"/>
      <c r="AT195" s="112"/>
      <c r="AU195" s="293"/>
    </row>
    <row r="196" spans="1:47" s="78" customFormat="1" x14ac:dyDescent="0.2">
      <c r="A196" s="135"/>
      <c r="B196" s="135"/>
      <c r="C196" s="112"/>
      <c r="D196" s="112"/>
      <c r="E196" s="112"/>
      <c r="F196" s="112"/>
      <c r="G196" s="112" t="s">
        <v>677</v>
      </c>
      <c r="H196" s="112" t="s">
        <v>680</v>
      </c>
      <c r="I196" s="112">
        <f>H106</f>
        <v>0.06</v>
      </c>
      <c r="J196" s="431"/>
      <c r="K196" s="112"/>
      <c r="L196" s="112"/>
      <c r="M196" s="431">
        <f>IF($H$63="Überschusseinspeisung",0,I60-I196)</f>
        <v>-0.06</v>
      </c>
      <c r="N196" s="112"/>
      <c r="O196" s="112"/>
      <c r="P196" s="112" t="s">
        <v>683</v>
      </c>
      <c r="Q196" s="112"/>
      <c r="R196" s="112"/>
      <c r="S196" s="112"/>
      <c r="T196" s="112"/>
      <c r="U196" s="112"/>
      <c r="V196" s="112"/>
      <c r="W196" s="112"/>
      <c r="X196" s="112"/>
      <c r="Y196" s="112" t="s">
        <v>2761</v>
      </c>
      <c r="Z196" s="112"/>
      <c r="AA196" s="112"/>
      <c r="AB196" s="112"/>
      <c r="AC196" s="464">
        <v>0.1</v>
      </c>
      <c r="AD196" s="115">
        <f>wrKosten*AC196</f>
        <v>135</v>
      </c>
      <c r="AE196" s="112"/>
      <c r="AF196" s="112"/>
      <c r="AG196" s="112"/>
      <c r="AH196" s="112"/>
      <c r="AI196" s="112"/>
      <c r="AJ196" s="112"/>
      <c r="AK196" s="112"/>
      <c r="AL196" s="112"/>
      <c r="AM196" s="112"/>
      <c r="AN196" s="112"/>
      <c r="AO196" s="112"/>
      <c r="AP196" s="112"/>
      <c r="AQ196" s="112"/>
      <c r="AR196" s="112"/>
      <c r="AS196" s="112"/>
      <c r="AT196" s="112"/>
      <c r="AU196" s="293"/>
    </row>
    <row r="197" spans="1:47" s="78" customFormat="1" x14ac:dyDescent="0.2">
      <c r="A197" s="135"/>
      <c r="B197" s="135"/>
      <c r="C197" s="112"/>
      <c r="D197" s="112"/>
      <c r="E197" s="112"/>
      <c r="F197" s="112"/>
      <c r="G197" s="112"/>
      <c r="H197" s="460" t="s">
        <v>679</v>
      </c>
      <c r="I197" s="112">
        <f>H106</f>
        <v>0.06</v>
      </c>
      <c r="J197" s="431"/>
      <c r="K197" s="112"/>
      <c r="L197" s="112"/>
      <c r="M197" s="431">
        <f>IF($H$63="Überschusseinspeisung",0,I59-I197)</f>
        <v>-0.06</v>
      </c>
      <c r="N197" s="112"/>
      <c r="O197" s="112"/>
      <c r="P197" s="112" t="s">
        <v>678</v>
      </c>
      <c r="Q197" s="112"/>
      <c r="R197" s="112"/>
      <c r="S197" s="112"/>
      <c r="T197" s="112"/>
      <c r="U197" s="112"/>
      <c r="V197" s="112"/>
      <c r="W197" s="112"/>
      <c r="X197" s="112"/>
      <c r="Y197" s="112" t="s">
        <v>2767</v>
      </c>
      <c r="Z197" s="112"/>
      <c r="AA197" s="112"/>
      <c r="AB197" s="112"/>
      <c r="AC197" s="465" t="s">
        <v>2766</v>
      </c>
      <c r="AD197" s="115">
        <f>modulKosten*$AC$195+wrKosten*$AC$196</f>
        <v>405</v>
      </c>
      <c r="AE197" s="112"/>
      <c r="AF197" s="112"/>
      <c r="AG197" s="112"/>
      <c r="AH197" s="112"/>
      <c r="AI197" s="112"/>
      <c r="AJ197" s="112"/>
      <c r="AK197" s="112"/>
      <c r="AL197" s="112"/>
      <c r="AM197" s="112"/>
      <c r="AN197" s="112"/>
      <c r="AO197" s="112"/>
      <c r="AP197" s="112"/>
      <c r="AQ197" s="112"/>
      <c r="AR197" s="112"/>
      <c r="AS197" s="112"/>
      <c r="AT197" s="112"/>
      <c r="AU197" s="293"/>
    </row>
    <row r="198" spans="1:47" s="78" customFormat="1" x14ac:dyDescent="0.2">
      <c r="A198" s="135"/>
      <c r="B198" s="135"/>
      <c r="C198" s="112" t="s">
        <v>2717</v>
      </c>
      <c r="D198" s="112"/>
      <c r="E198" s="112"/>
      <c r="F198" s="112"/>
      <c r="G198" s="112"/>
      <c r="H198" s="112" t="s">
        <v>682</v>
      </c>
      <c r="I198" s="112">
        <f>H106</f>
        <v>0.06</v>
      </c>
      <c r="J198" s="112"/>
      <c r="K198" s="112"/>
      <c r="L198" s="112"/>
      <c r="M198" s="466">
        <f>H80-I198</f>
        <v>0.10450000000000001</v>
      </c>
      <c r="N198" s="112"/>
      <c r="O198" s="112"/>
      <c r="P198" s="112" t="s">
        <v>681</v>
      </c>
      <c r="Q198" s="112"/>
      <c r="R198" s="112"/>
      <c r="S198" s="112"/>
      <c r="T198" s="112"/>
      <c r="U198" s="112"/>
      <c r="V198" s="112"/>
      <c r="W198" s="112"/>
      <c r="X198" s="112"/>
      <c r="Y198" s="388" t="s">
        <v>2778</v>
      </c>
      <c r="Z198" s="112"/>
      <c r="AA198" s="112"/>
      <c r="AB198" s="112"/>
      <c r="AC198" s="112"/>
      <c r="AD198" s="112"/>
      <c r="AE198" s="112"/>
      <c r="AF198" s="112"/>
      <c r="AG198" s="112"/>
      <c r="AH198" s="112"/>
      <c r="AI198" s="112"/>
      <c r="AJ198" s="112"/>
      <c r="AK198" s="112"/>
      <c r="AL198" s="112"/>
      <c r="AM198" s="112"/>
      <c r="AN198" s="112"/>
      <c r="AO198" s="112"/>
      <c r="AP198" s="112"/>
      <c r="AQ198" s="112"/>
      <c r="AR198" s="112"/>
      <c r="AS198" s="112"/>
      <c r="AT198" s="112"/>
      <c r="AU198" s="293"/>
    </row>
    <row r="199" spans="1:47" s="78" customFormat="1" x14ac:dyDescent="0.2">
      <c r="A199" s="135"/>
      <c r="B199" s="135"/>
      <c r="C199" s="112" t="s">
        <v>2562</v>
      </c>
      <c r="D199" s="112"/>
      <c r="E199" s="112"/>
      <c r="F199" s="112"/>
      <c r="G199" s="112"/>
      <c r="H199" s="112"/>
      <c r="I199" s="112"/>
      <c r="J199" s="112"/>
      <c r="K199" s="112"/>
      <c r="L199" s="112"/>
      <c r="M199" s="112"/>
      <c r="N199" s="112"/>
      <c r="O199" s="112"/>
      <c r="P199" s="112"/>
      <c r="Q199" s="112"/>
      <c r="R199" s="112"/>
      <c r="S199" s="112"/>
      <c r="T199" s="112"/>
      <c r="U199" s="112"/>
      <c r="V199" s="112"/>
      <c r="W199" s="112"/>
      <c r="X199" s="112"/>
      <c r="Y199" s="112"/>
      <c r="Z199" s="112"/>
      <c r="AA199" s="112"/>
      <c r="AB199" s="112"/>
      <c r="AC199" s="112"/>
      <c r="AD199" s="112"/>
      <c r="AE199" s="112"/>
      <c r="AF199" s="112"/>
      <c r="AG199" s="112"/>
      <c r="AH199" s="112"/>
      <c r="AI199" s="112"/>
      <c r="AJ199" s="112"/>
      <c r="AK199" s="112"/>
      <c r="AL199" s="112"/>
      <c r="AM199" s="112"/>
      <c r="AN199" s="112"/>
      <c r="AO199" s="112"/>
      <c r="AP199" s="112"/>
      <c r="AQ199" s="112"/>
      <c r="AR199" s="112"/>
      <c r="AS199" s="112"/>
      <c r="AT199" s="112"/>
      <c r="AU199" s="293"/>
    </row>
    <row r="200" spans="1:47" s="78" customFormat="1" x14ac:dyDescent="0.2">
      <c r="A200" s="135"/>
      <c r="B200" s="135"/>
      <c r="C200" s="112" t="s">
        <v>2718</v>
      </c>
      <c r="D200" s="112"/>
      <c r="E200" s="112"/>
      <c r="F200" s="112"/>
      <c r="G200" s="112"/>
      <c r="H200" s="112"/>
      <c r="I200" s="112"/>
      <c r="J200" s="112"/>
      <c r="K200" s="112"/>
      <c r="L200" s="112"/>
      <c r="M200" s="112"/>
      <c r="N200" s="112"/>
      <c r="O200" s="112"/>
      <c r="P200" s="112"/>
      <c r="Q200" s="112"/>
      <c r="R200" s="112"/>
      <c r="S200" s="112"/>
      <c r="T200" s="112"/>
      <c r="U200" s="112"/>
      <c r="V200" s="112"/>
      <c r="W200" s="112"/>
      <c r="X200" s="112"/>
      <c r="Y200" s="112"/>
      <c r="Z200" s="112"/>
      <c r="AA200" s="112"/>
      <c r="AB200" s="112"/>
      <c r="AC200" s="112"/>
      <c r="AD200" s="112"/>
      <c r="AE200" s="112"/>
      <c r="AF200" s="112"/>
      <c r="AG200" s="112"/>
      <c r="AH200" s="112"/>
      <c r="AI200" s="112"/>
      <c r="AJ200" s="112"/>
      <c r="AK200" s="112"/>
      <c r="AL200" s="112"/>
      <c r="AM200" s="112"/>
      <c r="AN200" s="112"/>
      <c r="AO200" s="112"/>
      <c r="AP200" s="112"/>
      <c r="AQ200" s="112"/>
      <c r="AR200" s="112"/>
      <c r="AS200" s="112"/>
      <c r="AT200" s="112"/>
      <c r="AU200" s="293"/>
    </row>
    <row r="201" spans="1:47" s="78" customFormat="1" x14ac:dyDescent="0.2">
      <c r="A201" s="135"/>
      <c r="B201" s="135"/>
      <c r="C201" s="112" t="s">
        <v>2607</v>
      </c>
      <c r="D201" s="112"/>
      <c r="E201" s="112"/>
      <c r="F201" s="112"/>
      <c r="G201" s="112"/>
      <c r="H201" s="112"/>
      <c r="I201" s="112"/>
      <c r="J201" s="112"/>
      <c r="K201" s="112"/>
      <c r="L201" s="112"/>
      <c r="M201" s="112"/>
      <c r="N201" s="112"/>
      <c r="O201" s="112"/>
      <c r="P201" s="112"/>
      <c r="Q201" s="112"/>
      <c r="R201" s="112"/>
      <c r="S201" s="112"/>
      <c r="T201" s="112"/>
      <c r="U201" s="112"/>
      <c r="V201" s="112"/>
      <c r="W201" s="112"/>
      <c r="X201" s="112"/>
      <c r="Y201" s="112"/>
      <c r="Z201" s="112"/>
      <c r="AA201" s="112"/>
      <c r="AB201" s="112"/>
      <c r="AC201" s="112"/>
      <c r="AD201" s="112"/>
      <c r="AE201" s="112"/>
      <c r="AF201" s="112"/>
      <c r="AG201" s="112"/>
      <c r="AH201" s="112"/>
      <c r="AI201" s="112"/>
      <c r="AJ201" s="112"/>
      <c r="AK201" s="112"/>
      <c r="AL201" s="112"/>
      <c r="AM201" s="112"/>
      <c r="AN201" s="112"/>
      <c r="AO201" s="112"/>
      <c r="AP201" s="112"/>
      <c r="AQ201" s="112"/>
      <c r="AR201" s="112"/>
      <c r="AS201" s="112"/>
      <c r="AT201" s="112"/>
      <c r="AU201" s="293"/>
    </row>
    <row r="202" spans="1:47" s="78" customFormat="1" x14ac:dyDescent="0.2">
      <c r="A202" s="135"/>
      <c r="B202" s="135"/>
      <c r="C202" s="112" t="s">
        <v>1657</v>
      </c>
      <c r="D202" s="112"/>
      <c r="E202" s="112"/>
      <c r="F202" s="112"/>
      <c r="G202" s="112"/>
      <c r="H202" s="112"/>
      <c r="I202" s="112"/>
      <c r="J202" s="112"/>
      <c r="K202" s="112"/>
      <c r="L202" s="112"/>
      <c r="M202" s="112"/>
      <c r="N202" s="112"/>
      <c r="O202" s="112"/>
      <c r="P202" s="112"/>
      <c r="Q202" s="112"/>
      <c r="R202" s="112"/>
      <c r="S202" s="112"/>
      <c r="T202" s="112"/>
      <c r="U202" s="112"/>
      <c r="V202" s="112"/>
      <c r="W202" s="112"/>
      <c r="X202" s="112"/>
      <c r="Y202" s="112"/>
      <c r="Z202" s="112"/>
      <c r="AA202" s="112"/>
      <c r="AB202" s="112"/>
      <c r="AC202" s="112"/>
      <c r="AD202" s="112"/>
      <c r="AE202" s="112"/>
      <c r="AF202" s="112"/>
      <c r="AG202" s="112"/>
      <c r="AH202" s="112"/>
      <c r="AI202" s="112"/>
      <c r="AJ202" s="112"/>
      <c r="AK202" s="112"/>
      <c r="AL202" s="112"/>
      <c r="AM202" s="112"/>
      <c r="AN202" s="112"/>
      <c r="AO202" s="112"/>
      <c r="AP202" s="112"/>
      <c r="AQ202" s="112"/>
      <c r="AR202" s="112"/>
      <c r="AS202" s="112"/>
      <c r="AT202" s="112"/>
      <c r="AU202" s="293"/>
    </row>
    <row r="203" spans="1:47" s="78" customFormat="1" x14ac:dyDescent="0.2">
      <c r="A203" s="135"/>
      <c r="B203" s="135"/>
      <c r="C203" s="112" t="s">
        <v>934</v>
      </c>
      <c r="D203" s="112"/>
      <c r="E203" s="112"/>
      <c r="F203" s="112"/>
      <c r="G203" s="112"/>
      <c r="H203" s="112"/>
      <c r="I203" s="112"/>
      <c r="J203" s="112"/>
      <c r="K203" s="112"/>
      <c r="L203" s="112"/>
      <c r="M203" s="112"/>
      <c r="N203" s="112"/>
      <c r="O203" s="112"/>
      <c r="P203" s="112"/>
      <c r="Q203" s="112"/>
      <c r="R203" s="112"/>
      <c r="S203" s="112"/>
      <c r="T203" s="112"/>
      <c r="U203" s="112"/>
      <c r="V203" s="112"/>
      <c r="W203" s="112"/>
      <c r="X203" s="112"/>
      <c r="Y203" s="112"/>
      <c r="Z203" s="112"/>
      <c r="AA203" s="112"/>
      <c r="AB203" s="112"/>
      <c r="AC203" s="112"/>
      <c r="AD203" s="112"/>
      <c r="AE203" s="112"/>
      <c r="AF203" s="112"/>
      <c r="AG203" s="112"/>
      <c r="AH203" s="112"/>
      <c r="AI203" s="112"/>
      <c r="AJ203" s="112"/>
      <c r="AK203" s="112"/>
      <c r="AL203" s="112"/>
      <c r="AM203" s="112"/>
      <c r="AN203" s="112"/>
      <c r="AO203" s="112"/>
      <c r="AP203" s="112"/>
      <c r="AQ203" s="112"/>
      <c r="AR203" s="112"/>
      <c r="AS203" s="112"/>
      <c r="AT203" s="112"/>
      <c r="AU203" s="293"/>
    </row>
    <row r="204" spans="1:47" s="78" customFormat="1" x14ac:dyDescent="0.2">
      <c r="A204" s="135"/>
      <c r="B204" s="135"/>
      <c r="C204" s="112"/>
      <c r="D204" s="112"/>
      <c r="E204" s="112"/>
      <c r="F204" s="112"/>
      <c r="G204" s="112"/>
      <c r="H204" s="112"/>
      <c r="I204" s="112"/>
      <c r="J204" s="112"/>
      <c r="K204" s="112"/>
      <c r="L204" s="112"/>
      <c r="M204" s="112"/>
      <c r="N204" s="112"/>
      <c r="O204" s="112"/>
      <c r="P204" s="112"/>
      <c r="Q204" s="112"/>
      <c r="R204" s="112"/>
      <c r="S204" s="112"/>
      <c r="T204" s="112"/>
      <c r="U204" s="112"/>
      <c r="V204" s="112"/>
      <c r="W204" s="112"/>
      <c r="X204" s="112"/>
      <c r="Y204" s="112"/>
      <c r="Z204" s="112"/>
      <c r="AA204" s="112"/>
      <c r="AB204" s="112"/>
      <c r="AC204" s="112"/>
      <c r="AD204" s="112"/>
      <c r="AE204" s="112"/>
      <c r="AF204" s="112"/>
      <c r="AG204" s="112"/>
      <c r="AH204" s="112"/>
      <c r="AI204" s="112"/>
      <c r="AJ204" s="112"/>
      <c r="AK204" s="112"/>
      <c r="AL204" s="112"/>
      <c r="AM204" s="112"/>
      <c r="AN204" s="112"/>
      <c r="AO204" s="112"/>
      <c r="AP204" s="112"/>
      <c r="AQ204" s="112"/>
      <c r="AR204" s="112"/>
      <c r="AS204" s="112"/>
      <c r="AT204" s="112"/>
      <c r="AU204" s="293"/>
    </row>
    <row r="205" spans="1:47" s="78" customFormat="1" x14ac:dyDescent="0.2">
      <c r="A205" s="135"/>
      <c r="B205" s="135"/>
      <c r="C205" s="112" t="s">
        <v>1831</v>
      </c>
      <c r="D205" s="112"/>
      <c r="E205" s="112"/>
      <c r="F205" s="112"/>
      <c r="G205" s="112" t="s">
        <v>2616</v>
      </c>
      <c r="H205" s="112"/>
      <c r="I205" s="112"/>
      <c r="J205" s="112"/>
      <c r="K205" s="112"/>
      <c r="L205" s="112"/>
      <c r="M205" s="112"/>
      <c r="N205" s="112"/>
      <c r="O205" s="112"/>
      <c r="P205" s="112"/>
      <c r="Q205" s="112"/>
      <c r="R205" s="112"/>
      <c r="S205" s="112"/>
      <c r="T205" s="112"/>
      <c r="U205" s="112"/>
      <c r="V205" s="112"/>
      <c r="W205" s="467" t="s">
        <v>2632</v>
      </c>
      <c r="X205" s="112"/>
      <c r="Y205" s="112"/>
      <c r="Z205" s="112"/>
      <c r="AA205" s="112"/>
      <c r="AB205" s="112"/>
      <c r="AC205" s="112"/>
      <c r="AD205" s="112"/>
      <c r="AE205" s="112"/>
      <c r="AF205" s="112"/>
      <c r="AG205" s="112"/>
      <c r="AH205" s="112"/>
      <c r="AI205" s="112"/>
      <c r="AJ205" s="112"/>
      <c r="AK205" s="112"/>
      <c r="AL205" s="112"/>
      <c r="AM205" s="112"/>
      <c r="AN205" s="112"/>
      <c r="AO205" s="112"/>
      <c r="AP205" s="112"/>
      <c r="AQ205" s="112"/>
      <c r="AR205" s="112"/>
      <c r="AS205" s="112"/>
      <c r="AT205" s="112"/>
      <c r="AU205" s="293"/>
    </row>
    <row r="206" spans="1:47" s="78" customFormat="1" x14ac:dyDescent="0.2">
      <c r="A206" s="135"/>
      <c r="B206" s="135"/>
      <c r="C206" s="112" t="s">
        <v>1832</v>
      </c>
      <c r="D206" s="112"/>
      <c r="E206" s="112"/>
      <c r="F206" s="112"/>
      <c r="G206" s="112">
        <f>IF(AND($H$63&lt;&gt;"Fördertarif",D211=$H$188,$E$67=$C$206),IF(H37*800&gt;4000,4000,H37*800),0)</f>
        <v>0</v>
      </c>
      <c r="H206" s="112"/>
      <c r="I206" s="112"/>
      <c r="J206" s="112"/>
      <c r="K206" s="112"/>
      <c r="L206" s="112"/>
      <c r="M206" s="112"/>
      <c r="N206" s="112"/>
      <c r="O206" s="112"/>
      <c r="P206" s="112"/>
      <c r="Q206" s="112"/>
      <c r="R206" s="112"/>
      <c r="S206" s="112"/>
      <c r="T206" s="112"/>
      <c r="U206" s="112"/>
      <c r="V206" s="112"/>
      <c r="W206" s="467"/>
      <c r="X206" s="112"/>
      <c r="Y206" s="112"/>
      <c r="Z206" s="112"/>
      <c r="AA206" s="112"/>
      <c r="AB206" s="112"/>
      <c r="AC206" s="112"/>
      <c r="AD206" s="112"/>
      <c r="AE206" s="112"/>
      <c r="AF206" s="112"/>
      <c r="AG206" s="112"/>
      <c r="AH206" s="112"/>
      <c r="AI206" s="112"/>
      <c r="AJ206" s="112"/>
      <c r="AK206" s="112"/>
      <c r="AL206" s="112"/>
      <c r="AM206" s="112"/>
      <c r="AN206" s="112"/>
      <c r="AO206" s="112"/>
      <c r="AP206" s="112"/>
      <c r="AQ206" s="112"/>
      <c r="AR206" s="112"/>
      <c r="AS206" s="112"/>
      <c r="AT206" s="112"/>
      <c r="AU206" s="293"/>
    </row>
    <row r="207" spans="1:47" s="78" customFormat="1" x14ac:dyDescent="0.2">
      <c r="A207" s="135"/>
      <c r="B207" s="135"/>
      <c r="C207" s="112"/>
      <c r="D207" s="112"/>
      <c r="E207" s="112"/>
      <c r="F207" s="112"/>
      <c r="G207" s="112">
        <f>IF(AND($H$63&lt;&gt;"Fördertarif",D212=$H$188),IF(H37*800&gt;4000,4000,H37*800),0)</f>
        <v>0</v>
      </c>
      <c r="H207" s="112"/>
      <c r="I207" s="112"/>
      <c r="J207" s="112"/>
      <c r="K207" s="112"/>
      <c r="L207" s="112"/>
      <c r="M207" s="112"/>
      <c r="N207" s="112"/>
      <c r="O207" s="112"/>
      <c r="P207" s="112"/>
      <c r="Q207" s="112"/>
      <c r="R207" s="112"/>
      <c r="S207" s="112"/>
      <c r="T207" s="112"/>
      <c r="U207" s="112"/>
      <c r="V207" s="112"/>
      <c r="W207" s="467" t="s">
        <v>2633</v>
      </c>
      <c r="X207" s="112"/>
      <c r="Y207" s="112"/>
      <c r="Z207" s="112"/>
      <c r="AA207" s="112"/>
      <c r="AB207" s="112"/>
      <c r="AC207" s="112"/>
      <c r="AD207" s="112"/>
      <c r="AE207" s="112"/>
      <c r="AF207" s="112"/>
      <c r="AG207" s="112"/>
      <c r="AH207" s="112"/>
      <c r="AI207" s="112"/>
      <c r="AJ207" s="112"/>
      <c r="AK207" s="112"/>
      <c r="AL207" s="112"/>
      <c r="AM207" s="112"/>
      <c r="AN207" s="112"/>
      <c r="AO207" s="112"/>
      <c r="AP207" s="112"/>
      <c r="AQ207" s="112"/>
      <c r="AR207" s="112"/>
      <c r="AS207" s="112"/>
      <c r="AT207" s="112"/>
      <c r="AU207" s="293"/>
    </row>
    <row r="208" spans="1:47" s="78" customFormat="1" x14ac:dyDescent="0.2">
      <c r="A208" s="135"/>
      <c r="B208" s="135"/>
      <c r="C208" s="112"/>
      <c r="D208" s="112"/>
      <c r="E208" s="112"/>
      <c r="F208" s="112"/>
      <c r="G208" s="112"/>
      <c r="H208" s="112"/>
      <c r="I208" s="112"/>
      <c r="J208" s="112"/>
      <c r="K208" s="112"/>
      <c r="L208" s="112"/>
      <c r="M208" s="112"/>
      <c r="N208" s="112"/>
      <c r="O208" s="112"/>
      <c r="P208" s="112"/>
      <c r="Q208" s="112"/>
      <c r="R208" s="112"/>
      <c r="S208" s="112"/>
      <c r="T208" s="112"/>
      <c r="U208" s="112"/>
      <c r="V208" s="112"/>
      <c r="W208" s="112"/>
      <c r="X208" s="112"/>
      <c r="Y208" s="112"/>
      <c r="Z208" s="112"/>
      <c r="AA208" s="112"/>
      <c r="AB208" s="112"/>
      <c r="AC208" s="112"/>
      <c r="AD208" s="112"/>
      <c r="AE208" s="112"/>
      <c r="AF208" s="112"/>
      <c r="AG208" s="112"/>
      <c r="AH208" s="112"/>
      <c r="AI208" s="112"/>
      <c r="AJ208" s="112"/>
      <c r="AK208" s="112"/>
      <c r="AL208" s="112"/>
      <c r="AM208" s="112"/>
      <c r="AN208" s="112"/>
      <c r="AO208" s="112"/>
      <c r="AP208" s="112"/>
      <c r="AQ208" s="112"/>
      <c r="AR208" s="112"/>
      <c r="AS208" s="112"/>
      <c r="AT208" s="112"/>
      <c r="AU208" s="293"/>
    </row>
    <row r="209" spans="1:47" s="78" customFormat="1" x14ac:dyDescent="0.2">
      <c r="A209" s="135"/>
      <c r="B209" s="135"/>
      <c r="C209" s="112" t="s">
        <v>144</v>
      </c>
      <c r="D209" s="112"/>
      <c r="E209" s="112"/>
      <c r="F209" s="112" t="s">
        <v>1831</v>
      </c>
      <c r="G209" s="112" t="s">
        <v>1832</v>
      </c>
      <c r="H209" s="112"/>
      <c r="I209" s="112" t="s">
        <v>1958</v>
      </c>
      <c r="J209" s="112"/>
      <c r="K209" s="112"/>
      <c r="L209" s="112"/>
      <c r="M209" s="112"/>
      <c r="N209" s="112"/>
      <c r="O209" s="112"/>
      <c r="P209" s="112"/>
      <c r="Q209" s="112"/>
      <c r="R209" s="112"/>
      <c r="S209" s="112"/>
      <c r="T209" s="112"/>
      <c r="U209" s="112"/>
      <c r="V209" s="112"/>
      <c r="W209" s="112"/>
      <c r="X209" s="112"/>
      <c r="Y209" s="112"/>
      <c r="Z209" s="112"/>
      <c r="AA209" s="112"/>
      <c r="AB209" s="112"/>
      <c r="AC209" s="112"/>
      <c r="AD209" s="112"/>
      <c r="AE209" s="112"/>
      <c r="AF209" s="112"/>
      <c r="AG209" s="112"/>
      <c r="AH209" s="112"/>
      <c r="AI209" s="112"/>
      <c r="AJ209" s="112"/>
      <c r="AK209" s="112"/>
      <c r="AL209" s="112"/>
      <c r="AM209" s="112"/>
      <c r="AN209" s="112"/>
      <c r="AO209" s="112"/>
      <c r="AP209" s="112"/>
      <c r="AQ209" s="112"/>
      <c r="AR209" s="112"/>
      <c r="AS209" s="112"/>
      <c r="AT209" s="112"/>
      <c r="AU209" s="293"/>
    </row>
    <row r="210" spans="1:47" s="78" customFormat="1" x14ac:dyDescent="0.2">
      <c r="A210" s="135"/>
      <c r="B210" s="135"/>
      <c r="C210" s="112"/>
      <c r="D210" s="112"/>
      <c r="E210" s="112"/>
      <c r="F210" s="112"/>
      <c r="G210" s="112"/>
      <c r="H210" s="112"/>
      <c r="I210" s="112"/>
      <c r="J210" s="112"/>
      <c r="K210" s="112"/>
      <c r="L210" s="112"/>
      <c r="M210" s="112"/>
      <c r="N210" s="112"/>
      <c r="O210" s="112"/>
      <c r="P210" s="112"/>
      <c r="Q210" s="112"/>
      <c r="R210" s="112"/>
      <c r="S210" s="112"/>
      <c r="T210" s="112"/>
      <c r="U210" s="112"/>
      <c r="V210" s="112"/>
      <c r="W210" s="112"/>
      <c r="X210" s="112"/>
      <c r="Y210" s="112"/>
      <c r="Z210" s="112"/>
      <c r="AA210" s="112"/>
      <c r="AB210" s="112"/>
      <c r="AC210" s="112"/>
      <c r="AD210" s="112"/>
      <c r="AE210" s="112"/>
      <c r="AF210" s="112"/>
      <c r="AG210" s="112"/>
      <c r="AH210" s="112"/>
      <c r="AI210" s="112"/>
      <c r="AJ210" s="112"/>
      <c r="AK210" s="112"/>
      <c r="AL210" s="112"/>
      <c r="AM210" s="112"/>
      <c r="AN210" s="112"/>
      <c r="AO210" s="112"/>
      <c r="AP210" s="112"/>
      <c r="AQ210" s="112"/>
      <c r="AR210" s="112"/>
      <c r="AS210" s="112"/>
      <c r="AT210" s="112"/>
      <c r="AU210" s="293"/>
    </row>
    <row r="211" spans="1:47" s="79" customFormat="1" x14ac:dyDescent="0.2">
      <c r="A211" s="135"/>
      <c r="B211" s="135"/>
      <c r="C211" s="112"/>
      <c r="D211" s="112" t="s">
        <v>1805</v>
      </c>
      <c r="E211" s="112"/>
      <c r="F211" s="112">
        <v>0</v>
      </c>
      <c r="G211" s="112">
        <f t="shared" ref="G211:G219" si="0">IF(AND(D211=$H$188,$H$63=EAGInvest),IF(EAGfoerderung&lt;EAGfoerderungMax,EAGfoerderung,EAGfoerderungMax),0)</f>
        <v>0</v>
      </c>
      <c r="H211" s="112">
        <v>0</v>
      </c>
      <c r="I211" s="112" t="s">
        <v>1959</v>
      </c>
      <c r="J211" s="112"/>
      <c r="K211" s="112"/>
      <c r="L211" s="112"/>
      <c r="M211" s="112"/>
      <c r="N211" s="112"/>
      <c r="O211" s="112"/>
      <c r="P211" s="112"/>
      <c r="Q211" s="112"/>
      <c r="R211" s="112"/>
      <c r="S211" s="112"/>
      <c r="T211" s="112"/>
      <c r="U211" s="112"/>
      <c r="V211" s="112"/>
      <c r="W211" s="112"/>
      <c r="X211" s="112"/>
      <c r="Y211" s="112"/>
      <c r="Z211" s="112"/>
      <c r="AA211" s="112"/>
      <c r="AB211" s="112"/>
      <c r="AC211" s="112"/>
      <c r="AD211" s="112"/>
      <c r="AE211" s="112"/>
      <c r="AF211" s="112"/>
      <c r="AG211" s="112"/>
      <c r="AH211" s="112"/>
      <c r="AI211" s="112"/>
      <c r="AJ211" s="112"/>
      <c r="AK211" s="112"/>
      <c r="AL211" s="112"/>
      <c r="AM211" s="112"/>
      <c r="AN211" s="112"/>
      <c r="AO211" s="112"/>
      <c r="AP211" s="112"/>
      <c r="AQ211" s="112"/>
      <c r="AR211" s="112"/>
      <c r="AS211" s="112"/>
      <c r="AT211" s="112"/>
      <c r="AU211" s="293"/>
    </row>
    <row r="212" spans="1:47" s="79" customFormat="1" x14ac:dyDescent="0.2">
      <c r="A212" s="135"/>
      <c r="B212" s="135"/>
      <c r="C212" s="112"/>
      <c r="D212" s="112" t="s">
        <v>1475</v>
      </c>
      <c r="E212" s="112"/>
      <c r="F212" s="112">
        <f>IF(AND($H$63=C174,D212=$H$188,$H$37&lt;=10),IF(GesamtkostenAnlage*0.5&gt;IF($H$37&lt;=4,380*$H$37,IF($H$37&lt;=6,280*$H$37,IF($H$37&lt;=8,180*$H$37,120*$H$37))*0),IF($H$37&lt;=4,380*$H$37,IF($H$37&lt;=6,280*$H$37,IF($H$37&lt;=8,180*$H$37,120*$H$37))),GesamtkostenAnlage*0.5),0)</f>
        <v>0</v>
      </c>
      <c r="G212" s="112">
        <f t="shared" si="0"/>
        <v>0</v>
      </c>
      <c r="H212" s="112">
        <v>0</v>
      </c>
      <c r="I212" s="112" t="s">
        <v>2746</v>
      </c>
      <c r="J212" s="112"/>
      <c r="K212" s="112"/>
      <c r="L212" s="112"/>
      <c r="M212" s="112"/>
      <c r="N212" s="112"/>
      <c r="O212" s="112"/>
      <c r="P212" s="112"/>
      <c r="Q212" s="112"/>
      <c r="R212" s="112"/>
      <c r="S212" s="112"/>
      <c r="T212" s="112"/>
      <c r="U212" s="112"/>
      <c r="V212" s="112"/>
      <c r="W212" s="112"/>
      <c r="X212" s="112"/>
      <c r="Y212" s="112"/>
      <c r="Z212" s="112"/>
      <c r="AA212" s="112"/>
      <c r="AB212" s="112"/>
      <c r="AC212" s="112"/>
      <c r="AD212" s="112"/>
      <c r="AE212" s="112"/>
      <c r="AF212" s="112"/>
      <c r="AG212" s="112"/>
      <c r="AH212" s="112"/>
      <c r="AI212" s="112"/>
      <c r="AJ212" s="112"/>
      <c r="AK212" s="112"/>
      <c r="AL212" s="112"/>
      <c r="AM212" s="112"/>
      <c r="AN212" s="112"/>
      <c r="AO212" s="112"/>
      <c r="AP212" s="112"/>
      <c r="AQ212" s="112"/>
      <c r="AR212" s="112"/>
      <c r="AS212" s="112"/>
      <c r="AT212" s="112"/>
      <c r="AU212" s="293"/>
    </row>
    <row r="213" spans="1:47" s="79" customFormat="1" x14ac:dyDescent="0.2">
      <c r="A213" s="135"/>
      <c r="B213" s="135"/>
      <c r="C213" s="112"/>
      <c r="D213" s="112" t="s">
        <v>1281</v>
      </c>
      <c r="E213" s="112"/>
      <c r="F213" s="112">
        <v>0</v>
      </c>
      <c r="G213" s="112">
        <f t="shared" si="0"/>
        <v>0</v>
      </c>
      <c r="H213" s="112">
        <v>0</v>
      </c>
      <c r="I213" s="112" t="s">
        <v>1959</v>
      </c>
      <c r="J213" s="112"/>
      <c r="K213" s="112"/>
      <c r="L213" s="112"/>
      <c r="M213" s="112"/>
      <c r="N213" s="112"/>
      <c r="O213" s="112"/>
      <c r="P213" s="112"/>
      <c r="Q213" s="112"/>
      <c r="R213" s="112"/>
      <c r="S213" s="112"/>
      <c r="T213" s="112"/>
      <c r="U213" s="112"/>
      <c r="V213" s="112"/>
      <c r="W213" s="112"/>
      <c r="X213" s="112"/>
      <c r="Y213" s="112"/>
      <c r="Z213" s="112"/>
      <c r="AA213" s="112"/>
      <c r="AB213" s="112"/>
      <c r="AC213" s="112"/>
      <c r="AD213" s="112"/>
      <c r="AE213" s="112"/>
      <c r="AF213" s="112"/>
      <c r="AG213" s="112"/>
      <c r="AH213" s="112"/>
      <c r="AI213" s="112"/>
      <c r="AJ213" s="112"/>
      <c r="AK213" s="112"/>
      <c r="AL213" s="112"/>
      <c r="AM213" s="112"/>
      <c r="AN213" s="112"/>
      <c r="AO213" s="112"/>
      <c r="AP213" s="112"/>
      <c r="AQ213" s="112"/>
      <c r="AR213" s="112"/>
      <c r="AS213" s="112"/>
      <c r="AT213" s="112"/>
      <c r="AU213" s="293"/>
    </row>
    <row r="214" spans="1:47" s="82" customFormat="1" x14ac:dyDescent="0.2">
      <c r="A214" s="135"/>
      <c r="B214" s="135"/>
      <c r="C214" s="112"/>
      <c r="D214" s="112" t="s">
        <v>520</v>
      </c>
      <c r="E214" s="112"/>
      <c r="F214" s="112">
        <v>0</v>
      </c>
      <c r="G214" s="112">
        <f t="shared" si="0"/>
        <v>0</v>
      </c>
      <c r="H214" s="112">
        <v>0</v>
      </c>
      <c r="I214" s="112" t="s">
        <v>1959</v>
      </c>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112"/>
      <c r="AP214" s="112"/>
      <c r="AQ214" s="112"/>
      <c r="AR214" s="112"/>
      <c r="AS214" s="112"/>
      <c r="AT214" s="112"/>
      <c r="AU214" s="293"/>
    </row>
    <row r="215" spans="1:47" s="82" customFormat="1" x14ac:dyDescent="0.2">
      <c r="A215" s="135"/>
      <c r="B215" s="135"/>
      <c r="C215" s="112"/>
      <c r="D215" s="112" t="s">
        <v>669</v>
      </c>
      <c r="E215" s="112"/>
      <c r="F215" s="112">
        <v>0</v>
      </c>
      <c r="G215" s="112">
        <f t="shared" si="0"/>
        <v>0</v>
      </c>
      <c r="H215" s="112">
        <v>0</v>
      </c>
      <c r="I215" s="112" t="s">
        <v>1959</v>
      </c>
      <c r="J215" s="112"/>
      <c r="K215" s="112"/>
      <c r="L215" s="112"/>
      <c r="M215" s="112"/>
      <c r="N215" s="112"/>
      <c r="O215" s="112"/>
      <c r="P215" s="112"/>
      <c r="Q215" s="112"/>
      <c r="R215" s="112"/>
      <c r="S215" s="112"/>
      <c r="T215" s="112"/>
      <c r="U215" s="112"/>
      <c r="V215" s="112"/>
      <c r="W215" s="112"/>
      <c r="X215" s="112"/>
      <c r="Y215" s="112"/>
      <c r="Z215" s="112"/>
      <c r="AA215" s="112"/>
      <c r="AB215" s="112"/>
      <c r="AC215" s="112"/>
      <c r="AD215" s="112"/>
      <c r="AE215" s="112"/>
      <c r="AF215" s="112"/>
      <c r="AG215" s="112"/>
      <c r="AH215" s="112"/>
      <c r="AI215" s="112"/>
      <c r="AJ215" s="112"/>
      <c r="AK215" s="112"/>
      <c r="AL215" s="112"/>
      <c r="AM215" s="112"/>
      <c r="AN215" s="112"/>
      <c r="AO215" s="112"/>
      <c r="AP215" s="112"/>
      <c r="AQ215" s="112"/>
      <c r="AR215" s="112"/>
      <c r="AS215" s="112"/>
      <c r="AT215" s="112"/>
      <c r="AU215" s="293"/>
    </row>
    <row r="216" spans="1:47" s="120" customFormat="1" x14ac:dyDescent="0.2">
      <c r="A216" s="112"/>
      <c r="B216" s="112"/>
      <c r="C216" s="112"/>
      <c r="D216" s="112" t="s">
        <v>2580</v>
      </c>
      <c r="E216" s="112"/>
      <c r="F216" s="112">
        <v>0</v>
      </c>
      <c r="G216" s="112">
        <f t="shared" si="0"/>
        <v>0</v>
      </c>
      <c r="H216" s="112">
        <v>0</v>
      </c>
      <c r="I216" s="112" t="s">
        <v>1959</v>
      </c>
      <c r="J216" s="112"/>
      <c r="K216" s="112"/>
      <c r="L216" s="112"/>
      <c r="M216" s="112"/>
      <c r="N216" s="112"/>
      <c r="O216" s="112"/>
      <c r="P216" s="112"/>
      <c r="Q216" s="112"/>
      <c r="R216" s="112"/>
      <c r="S216" s="112"/>
      <c r="T216" s="112"/>
      <c r="U216" s="112"/>
      <c r="V216" s="112"/>
      <c r="W216" s="112"/>
      <c r="X216" s="112"/>
      <c r="Y216" s="112"/>
      <c r="Z216" s="112"/>
      <c r="AA216" s="112"/>
      <c r="AB216" s="112"/>
      <c r="AC216" s="112"/>
      <c r="AD216" s="112"/>
      <c r="AE216" s="112"/>
      <c r="AF216" s="112"/>
      <c r="AG216" s="112"/>
      <c r="AH216" s="112"/>
      <c r="AI216" s="112"/>
      <c r="AJ216" s="112"/>
      <c r="AK216" s="112"/>
      <c r="AL216" s="112"/>
      <c r="AM216" s="112"/>
      <c r="AN216" s="112"/>
      <c r="AO216" s="112"/>
      <c r="AP216" s="112"/>
      <c r="AQ216" s="112"/>
      <c r="AR216" s="112"/>
      <c r="AS216" s="112"/>
      <c r="AT216" s="112"/>
      <c r="AU216" s="113"/>
    </row>
    <row r="217" spans="1:47" s="121" customFormat="1" x14ac:dyDescent="0.2">
      <c r="A217" s="112"/>
      <c r="B217" s="112"/>
      <c r="C217" s="112"/>
      <c r="D217" s="112" t="s">
        <v>871</v>
      </c>
      <c r="E217" s="112"/>
      <c r="F217" s="112">
        <f>IF(AND($H$63=C174,$H$188=D217),IF(H37&lt;=20,IF(H37*F56&gt;H90*0.5,H90*0.5,H37*F56),0),0)</f>
        <v>0</v>
      </c>
      <c r="G217" s="112">
        <f t="shared" si="0"/>
        <v>0</v>
      </c>
      <c r="H217" s="112">
        <v>0</v>
      </c>
      <c r="I217" s="112" t="s">
        <v>2730</v>
      </c>
      <c r="J217" s="112"/>
      <c r="K217" s="112"/>
      <c r="L217" s="112"/>
      <c r="M217" s="112"/>
      <c r="N217" s="112"/>
      <c r="O217" s="112"/>
      <c r="P217" s="112"/>
      <c r="Q217" s="112"/>
      <c r="R217" s="112"/>
      <c r="S217" s="112"/>
      <c r="T217" s="112"/>
      <c r="U217" s="112"/>
      <c r="V217" s="112"/>
      <c r="W217" s="112"/>
      <c r="X217" s="112"/>
      <c r="Y217" s="112"/>
      <c r="Z217" s="112"/>
      <c r="AA217" s="112"/>
      <c r="AB217" s="112"/>
      <c r="AC217" s="112"/>
      <c r="AD217" s="112"/>
      <c r="AE217" s="112"/>
      <c r="AF217" s="112"/>
      <c r="AG217" s="112"/>
      <c r="AH217" s="112"/>
      <c r="AI217" s="112"/>
      <c r="AJ217" s="112"/>
      <c r="AK217" s="112"/>
      <c r="AL217" s="112"/>
      <c r="AM217" s="112"/>
      <c r="AN217" s="112"/>
      <c r="AO217" s="112"/>
      <c r="AP217" s="112"/>
      <c r="AQ217" s="112"/>
      <c r="AR217" s="112"/>
      <c r="AS217" s="112"/>
      <c r="AT217" s="112"/>
      <c r="AU217" s="113"/>
    </row>
    <row r="218" spans="1:47" s="82" customFormat="1" x14ac:dyDescent="0.2">
      <c r="A218" s="135"/>
      <c r="B218" s="135"/>
      <c r="C218" s="112"/>
      <c r="D218" s="112" t="s">
        <v>1075</v>
      </c>
      <c r="E218" s="112"/>
      <c r="F218" s="112">
        <v>0</v>
      </c>
      <c r="G218" s="112">
        <f t="shared" si="0"/>
        <v>0</v>
      </c>
      <c r="H218" s="112">
        <v>0</v>
      </c>
      <c r="I218" s="112" t="s">
        <v>1959</v>
      </c>
      <c r="J218" s="112"/>
      <c r="K218" s="112"/>
      <c r="L218" s="112"/>
      <c r="M218" s="112"/>
      <c r="N218" s="112"/>
      <c r="O218" s="112"/>
      <c r="P218" s="112"/>
      <c r="Q218" s="112"/>
      <c r="R218" s="112"/>
      <c r="S218" s="112"/>
      <c r="T218" s="112"/>
      <c r="U218" s="112"/>
      <c r="V218" s="112"/>
      <c r="W218" s="112"/>
      <c r="X218" s="112"/>
      <c r="Y218" s="112"/>
      <c r="Z218" s="112"/>
      <c r="AA218" s="112"/>
      <c r="AB218" s="112"/>
      <c r="AC218" s="112"/>
      <c r="AD218" s="112"/>
      <c r="AE218" s="112"/>
      <c r="AF218" s="112"/>
      <c r="AG218" s="112"/>
      <c r="AH218" s="112"/>
      <c r="AI218" s="112"/>
      <c r="AJ218" s="112"/>
      <c r="AK218" s="112"/>
      <c r="AL218" s="112"/>
      <c r="AM218" s="112"/>
      <c r="AN218" s="112"/>
      <c r="AO218" s="112"/>
      <c r="AP218" s="112"/>
      <c r="AQ218" s="112"/>
      <c r="AR218" s="112"/>
      <c r="AS218" s="112"/>
      <c r="AT218" s="112"/>
      <c r="AU218" s="293"/>
    </row>
    <row r="219" spans="1:47" s="82" customFormat="1" x14ac:dyDescent="0.2">
      <c r="A219" s="135"/>
      <c r="B219" s="135"/>
      <c r="C219" s="112"/>
      <c r="D219" s="112" t="s">
        <v>1264</v>
      </c>
      <c r="E219" s="112"/>
      <c r="F219" s="112">
        <f>IF(AND($H$63=C174,$H$188=D219),IF(H37&lt;=100,IF(H37*F56&gt;H90*0.3,H90*0.3,H37*F56),IF(H37&lt;=500,IF(H37*(F56-50)&gt;H90*0.3,H90*0.3,H37*(F56-50)),100000)),0)</f>
        <v>1500</v>
      </c>
      <c r="G219" s="112">
        <f t="shared" si="0"/>
        <v>0</v>
      </c>
      <c r="H219" s="112">
        <v>0</v>
      </c>
      <c r="I219" s="112" t="s">
        <v>2710</v>
      </c>
      <c r="J219" s="112"/>
      <c r="K219" s="112"/>
      <c r="L219" s="112"/>
      <c r="M219" s="112"/>
      <c r="N219" s="112"/>
      <c r="O219" s="112"/>
      <c r="P219" s="112"/>
      <c r="Q219" s="112"/>
      <c r="R219" s="112"/>
      <c r="S219" s="112"/>
      <c r="T219" s="112"/>
      <c r="U219" s="112"/>
      <c r="V219" s="112"/>
      <c r="W219" s="112"/>
      <c r="X219" s="112"/>
      <c r="Y219" s="112"/>
      <c r="Z219" s="112"/>
      <c r="AA219" s="112"/>
      <c r="AB219" s="112"/>
      <c r="AC219" s="112"/>
      <c r="AD219" s="112"/>
      <c r="AE219" s="112"/>
      <c r="AF219" s="112"/>
      <c r="AG219" s="112"/>
      <c r="AH219" s="112"/>
      <c r="AI219" s="112"/>
      <c r="AJ219" s="112"/>
      <c r="AK219" s="112"/>
      <c r="AL219" s="112"/>
      <c r="AM219" s="112"/>
      <c r="AN219" s="112"/>
      <c r="AO219" s="112"/>
      <c r="AP219" s="112"/>
      <c r="AQ219" s="112"/>
      <c r="AR219" s="112"/>
      <c r="AS219" s="112"/>
      <c r="AT219" s="112"/>
      <c r="AU219" s="293"/>
    </row>
    <row r="220" spans="1:47" x14ac:dyDescent="0.2">
      <c r="A220" s="135"/>
      <c r="B220" s="135"/>
      <c r="C220" s="112"/>
      <c r="D220" s="112"/>
      <c r="E220" s="112"/>
      <c r="F220" s="115">
        <f>SUM(F211:F219)</f>
        <v>1500</v>
      </c>
      <c r="G220" s="115">
        <f>IF(C57=C198,SUM(G211:G219)*1.3,IF(C57=C199,SUM(G211:G219)*0.75,SUM(G211:G219)))</f>
        <v>0</v>
      </c>
      <c r="H220" s="115">
        <f>SUM(H211:H219)</f>
        <v>0</v>
      </c>
      <c r="I220" s="115">
        <f>F220+G220+H220</f>
        <v>1500</v>
      </c>
      <c r="J220" s="112" t="s">
        <v>2743</v>
      </c>
      <c r="K220" s="112"/>
      <c r="L220" s="112"/>
      <c r="M220" s="112"/>
      <c r="N220" s="112"/>
      <c r="O220" s="112"/>
      <c r="P220" s="112"/>
      <c r="Q220" s="112"/>
      <c r="R220" s="112"/>
      <c r="S220" s="112"/>
      <c r="T220" s="112"/>
      <c r="U220" s="112"/>
      <c r="V220" s="112"/>
      <c r="W220" s="112"/>
      <c r="X220" s="112"/>
      <c r="Y220" s="112"/>
      <c r="Z220" s="112"/>
      <c r="AA220" s="112"/>
      <c r="AB220" s="112"/>
      <c r="AC220" s="112"/>
      <c r="AD220" s="112"/>
      <c r="AE220" s="112"/>
      <c r="AF220" s="112"/>
      <c r="AG220" s="112"/>
      <c r="AH220" s="112"/>
      <c r="AI220" s="112"/>
      <c r="AJ220" s="112"/>
      <c r="AK220" s="112"/>
      <c r="AL220" s="112"/>
      <c r="AM220" s="112"/>
      <c r="AN220" s="112"/>
      <c r="AO220" s="112"/>
      <c r="AP220" s="112"/>
      <c r="AQ220" s="112"/>
      <c r="AR220" s="112"/>
      <c r="AS220" s="112"/>
      <c r="AT220" s="112"/>
      <c r="AU220" s="293"/>
    </row>
    <row r="221" spans="1:47" x14ac:dyDescent="0.2">
      <c r="A221" s="135"/>
      <c r="B221" s="135"/>
      <c r="C221" s="112"/>
      <c r="D221" s="112"/>
      <c r="E221" s="112"/>
      <c r="F221" s="112"/>
      <c r="G221" s="112"/>
      <c r="H221" s="112"/>
      <c r="I221" s="112"/>
      <c r="J221" s="112"/>
      <c r="K221" s="112"/>
      <c r="L221" s="112"/>
      <c r="M221" s="112"/>
      <c r="N221" s="112"/>
      <c r="O221" s="112"/>
      <c r="P221" s="112"/>
      <c r="Q221" s="112"/>
      <c r="R221" s="112"/>
      <c r="S221" s="112"/>
      <c r="T221" s="112"/>
      <c r="U221" s="112"/>
      <c r="V221" s="112"/>
      <c r="W221" s="112" t="s">
        <v>2601</v>
      </c>
      <c r="X221" s="112"/>
      <c r="Y221" s="112"/>
      <c r="Z221" s="112" t="s">
        <v>2602</v>
      </c>
      <c r="AA221" s="112" t="s">
        <v>2603</v>
      </c>
      <c r="AB221" s="112"/>
      <c r="AC221" s="112"/>
      <c r="AD221" s="112"/>
      <c r="AE221" s="112"/>
      <c r="AF221" s="112"/>
      <c r="AG221" s="112"/>
      <c r="AH221" s="112"/>
      <c r="AI221" s="112"/>
      <c r="AJ221" s="112"/>
      <c r="AK221" s="112"/>
      <c r="AL221" s="112"/>
      <c r="AM221" s="112"/>
      <c r="AN221" s="112"/>
      <c r="AO221" s="112"/>
      <c r="AP221" s="112"/>
      <c r="AQ221" s="112"/>
      <c r="AR221" s="112"/>
      <c r="AS221" s="112"/>
      <c r="AT221" s="112"/>
      <c r="AU221" s="293"/>
    </row>
    <row r="222" spans="1:47" x14ac:dyDescent="0.2">
      <c r="A222" s="135"/>
      <c r="B222" s="135"/>
      <c r="C222" s="112"/>
      <c r="D222" s="112"/>
      <c r="E222" s="112"/>
      <c r="F222" s="112"/>
      <c r="G222" s="468">
        <f>I220/H90</f>
        <v>0.16666666666666666</v>
      </c>
      <c r="H222" s="112" t="s">
        <v>2361</v>
      </c>
      <c r="I222" s="112"/>
      <c r="J222" s="112"/>
      <c r="K222" s="112"/>
      <c r="L222" s="112"/>
      <c r="M222" s="112"/>
      <c r="N222" s="112"/>
      <c r="O222" s="112"/>
      <c r="P222" s="112"/>
      <c r="Q222" s="112"/>
      <c r="R222" s="112"/>
      <c r="S222" s="469"/>
      <c r="T222" s="112"/>
      <c r="U222" s="112"/>
      <c r="V222" s="112"/>
      <c r="W222" s="461">
        <f>H90*0.4</f>
        <v>3600</v>
      </c>
      <c r="X222" s="112"/>
      <c r="Y222" s="112"/>
      <c r="Z222" s="112" t="e">
        <f>S222/U223</f>
        <v>#DIV/0!</v>
      </c>
      <c r="AA222" s="116" t="e">
        <f>U222/U223</f>
        <v>#DIV/0!</v>
      </c>
      <c r="AB222" s="112"/>
      <c r="AC222" s="112"/>
      <c r="AD222" s="112"/>
      <c r="AE222" s="112"/>
      <c r="AF222" s="112"/>
      <c r="AG222" s="112"/>
      <c r="AH222" s="112"/>
      <c r="AI222" s="112"/>
      <c r="AJ222" s="112"/>
      <c r="AK222" s="112"/>
      <c r="AL222" s="112"/>
      <c r="AM222" s="112"/>
      <c r="AN222" s="112"/>
      <c r="AO222" s="112"/>
      <c r="AP222" s="112"/>
      <c r="AQ222" s="112"/>
      <c r="AR222" s="112"/>
      <c r="AS222" s="112"/>
      <c r="AT222" s="112"/>
      <c r="AU222" s="293"/>
    </row>
    <row r="223" spans="1:47" x14ac:dyDescent="0.2">
      <c r="A223" s="135"/>
      <c r="B223" s="135"/>
      <c r="C223" s="112"/>
      <c r="D223" s="112"/>
      <c r="E223" s="112"/>
      <c r="F223" s="112"/>
      <c r="G223" s="112"/>
      <c r="H223" s="112"/>
      <c r="I223" s="112"/>
      <c r="J223" s="112"/>
      <c r="K223" s="112"/>
      <c r="L223" s="112"/>
      <c r="M223" s="112"/>
      <c r="N223" s="112"/>
      <c r="O223" s="112"/>
      <c r="P223" s="112"/>
      <c r="Q223" s="112"/>
      <c r="R223" s="112"/>
      <c r="S223" s="112"/>
      <c r="T223" s="112"/>
      <c r="U223" s="469"/>
      <c r="V223" s="112"/>
      <c r="W223" s="112">
        <f>IF(W222&gt;=U223,0,U223-W222)</f>
        <v>0</v>
      </c>
      <c r="X223" s="112"/>
      <c r="Y223" s="112"/>
      <c r="Z223" s="112"/>
      <c r="AA223" s="112"/>
      <c r="AB223" s="112"/>
      <c r="AC223" s="112"/>
      <c r="AD223" s="112"/>
      <c r="AE223" s="112"/>
      <c r="AF223" s="112"/>
      <c r="AG223" s="112"/>
      <c r="AH223" s="112"/>
      <c r="AI223" s="112"/>
      <c r="AJ223" s="112"/>
      <c r="AK223" s="112"/>
      <c r="AL223" s="112"/>
      <c r="AM223" s="112"/>
      <c r="AN223" s="112"/>
      <c r="AO223" s="112"/>
      <c r="AP223" s="112"/>
      <c r="AQ223" s="112"/>
      <c r="AR223" s="112"/>
      <c r="AS223" s="112"/>
      <c r="AT223" s="112"/>
      <c r="AU223" s="293"/>
    </row>
    <row r="224" spans="1:47" x14ac:dyDescent="0.2">
      <c r="A224" s="135"/>
      <c r="B224" s="135"/>
      <c r="C224" s="112" t="s">
        <v>2648</v>
      </c>
      <c r="D224" s="112"/>
      <c r="E224" s="112"/>
      <c r="F224" s="473" t="s">
        <v>2744</v>
      </c>
      <c r="G224" s="112"/>
      <c r="H224" s="112"/>
      <c r="I224" s="112"/>
      <c r="J224" s="112"/>
      <c r="K224" s="112"/>
      <c r="L224" s="112"/>
      <c r="M224" s="112"/>
      <c r="N224" s="112"/>
      <c r="O224" s="112"/>
      <c r="P224" s="112"/>
      <c r="Q224" s="112"/>
      <c r="R224" s="112"/>
      <c r="S224" s="112"/>
      <c r="T224" s="112"/>
      <c r="U224" s="112"/>
      <c r="V224" s="112"/>
      <c r="W224" s="112"/>
      <c r="X224" s="112"/>
      <c r="Y224" s="112"/>
      <c r="Z224" s="112"/>
      <c r="AA224" s="112"/>
      <c r="AB224" s="112"/>
      <c r="AC224" s="112"/>
      <c r="AD224" s="112"/>
      <c r="AE224" s="112"/>
      <c r="AF224" s="112"/>
      <c r="AG224" s="112"/>
      <c r="AH224" s="112"/>
      <c r="AI224" s="112"/>
      <c r="AJ224" s="112"/>
      <c r="AK224" s="112"/>
      <c r="AL224" s="112"/>
      <c r="AM224" s="112"/>
      <c r="AN224" s="112"/>
      <c r="AO224" s="112"/>
      <c r="AP224" s="112"/>
      <c r="AQ224" s="112"/>
      <c r="AR224" s="112"/>
      <c r="AS224" s="112"/>
      <c r="AT224" s="112"/>
      <c r="AU224" s="293"/>
    </row>
    <row r="225" spans="1:47" x14ac:dyDescent="0.2">
      <c r="A225" s="135"/>
      <c r="B225" s="135"/>
      <c r="C225" s="112" t="s">
        <v>899</v>
      </c>
      <c r="D225" s="112"/>
      <c r="E225" s="473" t="s">
        <v>1805</v>
      </c>
      <c r="F225" s="470">
        <v>7000</v>
      </c>
      <c r="G225" s="473" t="s">
        <v>2580</v>
      </c>
      <c r="H225" s="470">
        <v>8020</v>
      </c>
      <c r="I225" s="112"/>
      <c r="J225" s="112"/>
      <c r="K225" s="112"/>
      <c r="L225" s="112"/>
      <c r="M225" s="112"/>
      <c r="N225" s="112"/>
      <c r="O225" s="112"/>
      <c r="P225" s="112"/>
      <c r="Q225" s="112"/>
      <c r="R225" s="112"/>
      <c r="S225" s="469"/>
      <c r="T225" s="112"/>
      <c r="U225" s="469"/>
      <c r="V225" s="112"/>
      <c r="W225" s="469">
        <f>S225+U225</f>
        <v>0</v>
      </c>
      <c r="X225" s="112"/>
      <c r="Y225" s="112"/>
      <c r="Z225" s="112"/>
      <c r="AA225" s="112"/>
      <c r="AB225" s="112"/>
      <c r="AC225" s="112"/>
      <c r="AD225" s="112"/>
      <c r="AE225" s="112"/>
      <c r="AF225" s="112"/>
      <c r="AG225" s="112"/>
      <c r="AH225" s="112"/>
      <c r="AI225" s="112"/>
      <c r="AJ225" s="112"/>
      <c r="AK225" s="112"/>
      <c r="AL225" s="112"/>
      <c r="AM225" s="112"/>
      <c r="AN225" s="112"/>
      <c r="AO225" s="112"/>
      <c r="AP225" s="112"/>
      <c r="AQ225" s="112"/>
      <c r="AR225" s="112"/>
      <c r="AS225" s="112"/>
      <c r="AT225" s="112"/>
      <c r="AU225" s="293"/>
    </row>
    <row r="226" spans="1:47" x14ac:dyDescent="0.2">
      <c r="A226" s="135"/>
      <c r="B226" s="135"/>
      <c r="C226" s="112" t="s">
        <v>465</v>
      </c>
      <c r="D226" s="112"/>
      <c r="E226" s="473" t="s">
        <v>1475</v>
      </c>
      <c r="F226" s="470">
        <v>9020</v>
      </c>
      <c r="G226" s="473" t="s">
        <v>871</v>
      </c>
      <c r="H226" s="470">
        <v>6020</v>
      </c>
      <c r="I226" s="112"/>
      <c r="J226" s="112"/>
      <c r="K226" s="112"/>
      <c r="L226" s="112"/>
      <c r="M226" s="115"/>
      <c r="N226" s="112"/>
      <c r="O226" s="112"/>
      <c r="P226" s="112"/>
      <c r="Q226" s="112"/>
      <c r="R226" s="112"/>
      <c r="S226" s="112"/>
      <c r="T226" s="112"/>
      <c r="U226" s="112"/>
      <c r="V226" s="112"/>
      <c r="W226" s="112"/>
      <c r="X226" s="112"/>
      <c r="Y226" s="112"/>
      <c r="Z226" s="112"/>
      <c r="AA226" s="112"/>
      <c r="AB226" s="112"/>
      <c r="AC226" s="112"/>
      <c r="AD226" s="112"/>
      <c r="AE226" s="112"/>
      <c r="AF226" s="112"/>
      <c r="AG226" s="112"/>
      <c r="AH226" s="112"/>
      <c r="AI226" s="112"/>
      <c r="AJ226" s="112"/>
      <c r="AK226" s="112"/>
      <c r="AL226" s="112"/>
      <c r="AM226" s="112"/>
      <c r="AN226" s="112"/>
      <c r="AO226" s="112"/>
      <c r="AP226" s="112"/>
      <c r="AQ226" s="112"/>
      <c r="AR226" s="112"/>
      <c r="AS226" s="112"/>
      <c r="AT226" s="112"/>
      <c r="AU226" s="293"/>
    </row>
    <row r="227" spans="1:47" x14ac:dyDescent="0.2">
      <c r="A227" s="135"/>
      <c r="B227" s="135"/>
      <c r="C227" s="112"/>
      <c r="D227" s="112"/>
      <c r="E227" s="473" t="s">
        <v>1281</v>
      </c>
      <c r="F227" s="470">
        <v>3100</v>
      </c>
      <c r="G227" s="473" t="s">
        <v>1075</v>
      </c>
      <c r="H227" s="470">
        <v>6900</v>
      </c>
      <c r="I227" s="112"/>
      <c r="J227" s="112"/>
      <c r="K227" s="112"/>
      <c r="L227" s="112"/>
      <c r="M227" s="112"/>
      <c r="N227" s="112"/>
      <c r="O227" s="112"/>
      <c r="P227" s="112"/>
      <c r="Q227" s="112"/>
      <c r="R227" s="112"/>
      <c r="S227" s="112"/>
      <c r="T227" s="112"/>
      <c r="U227" s="112"/>
      <c r="V227" s="112"/>
      <c r="W227" s="112"/>
      <c r="X227" s="112"/>
      <c r="Y227" s="112"/>
      <c r="Z227" s="112"/>
      <c r="AA227" s="112"/>
      <c r="AB227" s="112"/>
      <c r="AC227" s="112"/>
      <c r="AD227" s="112"/>
      <c r="AE227" s="112"/>
      <c r="AF227" s="112"/>
      <c r="AG227" s="112"/>
      <c r="AH227" s="112"/>
      <c r="AI227" s="112"/>
      <c r="AJ227" s="112"/>
      <c r="AK227" s="112"/>
      <c r="AL227" s="112"/>
      <c r="AM227" s="112"/>
      <c r="AN227" s="112"/>
      <c r="AO227" s="112"/>
      <c r="AP227" s="112"/>
      <c r="AQ227" s="112"/>
      <c r="AR227" s="112"/>
      <c r="AS227" s="112"/>
      <c r="AT227" s="112"/>
      <c r="AU227" s="293"/>
    </row>
    <row r="228" spans="1:47" x14ac:dyDescent="0.2">
      <c r="A228" s="135"/>
      <c r="B228" s="135"/>
      <c r="C228" s="112"/>
      <c r="D228" s="112"/>
      <c r="E228" s="473" t="s">
        <v>520</v>
      </c>
      <c r="F228" s="470">
        <v>4020</v>
      </c>
      <c r="G228" s="473" t="s">
        <v>1264</v>
      </c>
      <c r="H228" s="470">
        <v>1020</v>
      </c>
      <c r="I228" s="112"/>
      <c r="J228" s="112"/>
      <c r="K228" s="112"/>
      <c r="L228" s="112"/>
      <c r="M228" s="112"/>
      <c r="N228" s="112"/>
      <c r="O228" s="112"/>
      <c r="P228" s="112"/>
      <c r="Q228" s="112"/>
      <c r="R228" s="112"/>
      <c r="S228" s="112"/>
      <c r="T228" s="112"/>
      <c r="U228" s="112"/>
      <c r="V228" s="112"/>
      <c r="W228" s="112"/>
      <c r="X228" s="112"/>
      <c r="Y228" s="112"/>
      <c r="Z228" s="112"/>
      <c r="AA228" s="112" t="s">
        <v>2697</v>
      </c>
      <c r="AB228" s="112"/>
      <c r="AC228" s="112"/>
      <c r="AD228" s="112"/>
      <c r="AE228" s="112"/>
      <c r="AF228" s="112"/>
      <c r="AG228" s="112"/>
      <c r="AH228" s="112"/>
      <c r="AI228" s="112"/>
      <c r="AJ228" s="112"/>
      <c r="AK228" s="112"/>
      <c r="AL228" s="112"/>
      <c r="AM228" s="112"/>
      <c r="AN228" s="112"/>
      <c r="AO228" s="112"/>
      <c r="AP228" s="112"/>
      <c r="AQ228" s="112"/>
      <c r="AR228" s="112"/>
      <c r="AS228" s="112"/>
      <c r="AT228" s="112"/>
      <c r="AU228" s="293"/>
    </row>
    <row r="229" spans="1:47" x14ac:dyDescent="0.2">
      <c r="A229" s="135"/>
      <c r="B229" s="135"/>
      <c r="C229" s="112"/>
      <c r="D229" s="112"/>
      <c r="E229" s="473" t="s">
        <v>2745</v>
      </c>
      <c r="F229" s="470">
        <v>5020</v>
      </c>
      <c r="G229" s="115"/>
      <c r="H229" s="470"/>
      <c r="I229" s="112"/>
      <c r="J229" s="112"/>
      <c r="K229" s="112"/>
      <c r="L229" s="112"/>
      <c r="M229" s="115"/>
      <c r="N229" s="112"/>
      <c r="O229" s="112"/>
      <c r="P229" s="112"/>
      <c r="Q229" s="112"/>
      <c r="R229" s="112"/>
      <c r="S229" s="112"/>
      <c r="T229" s="112"/>
      <c r="U229" s="112"/>
      <c r="V229" s="112"/>
      <c r="W229" s="112"/>
      <c r="X229" s="112"/>
      <c r="Y229" s="112"/>
      <c r="Z229" s="112"/>
      <c r="AA229" s="112" t="s">
        <v>2634</v>
      </c>
      <c r="AB229" s="112"/>
      <c r="AC229" s="112"/>
      <c r="AD229" s="112"/>
      <c r="AE229" s="112"/>
      <c r="AF229" s="112"/>
      <c r="AG229" s="112"/>
      <c r="AH229" s="112"/>
      <c r="AI229" s="112"/>
      <c r="AJ229" s="112"/>
      <c r="AK229" s="112"/>
      <c r="AL229" s="112"/>
      <c r="AM229" s="112"/>
      <c r="AN229" s="112"/>
      <c r="AO229" s="112"/>
      <c r="AP229" s="112"/>
      <c r="AQ229" s="112"/>
      <c r="AR229" s="112"/>
      <c r="AS229" s="112"/>
      <c r="AT229" s="112"/>
      <c r="AU229" s="293"/>
    </row>
    <row r="230" spans="1:47" x14ac:dyDescent="0.2">
      <c r="A230" s="135"/>
      <c r="B230" s="135"/>
      <c r="C230" s="112"/>
      <c r="D230" s="112"/>
      <c r="E230" s="112"/>
      <c r="F230" s="112"/>
      <c r="G230" s="112"/>
      <c r="H230" s="115"/>
      <c r="I230" s="112"/>
      <c r="J230" s="112"/>
      <c r="K230" s="112"/>
      <c r="L230" s="112"/>
      <c r="M230" s="115"/>
      <c r="N230" s="112"/>
      <c r="O230" s="112"/>
      <c r="P230" s="112"/>
      <c r="Q230" s="112"/>
      <c r="R230" s="112"/>
      <c r="S230" s="112"/>
      <c r="T230" s="112"/>
      <c r="U230" s="112"/>
      <c r="V230" s="112"/>
      <c r="W230" s="112"/>
      <c r="X230" s="112"/>
      <c r="Y230" s="112"/>
      <c r="Z230" s="112"/>
      <c r="AA230" s="112"/>
      <c r="AB230" s="112"/>
      <c r="AC230" s="112"/>
      <c r="AD230" s="112"/>
      <c r="AE230" s="112"/>
      <c r="AF230" s="112"/>
      <c r="AG230" s="112"/>
      <c r="AH230" s="112"/>
      <c r="AI230" s="112"/>
      <c r="AJ230" s="112"/>
      <c r="AK230" s="112"/>
      <c r="AL230" s="112"/>
      <c r="AM230" s="112"/>
      <c r="AN230" s="112"/>
      <c r="AO230" s="112"/>
      <c r="AP230" s="112"/>
      <c r="AQ230" s="112"/>
      <c r="AR230" s="112"/>
      <c r="AS230" s="112"/>
      <c r="AT230" s="112"/>
      <c r="AU230" s="293"/>
    </row>
    <row r="231" spans="1:47" x14ac:dyDescent="0.2">
      <c r="A231" s="135"/>
      <c r="B231" s="135"/>
      <c r="C231" s="112"/>
      <c r="D231" s="112"/>
      <c r="E231" s="112"/>
      <c r="F231" s="112"/>
      <c r="G231" s="112"/>
      <c r="H231" s="115"/>
      <c r="I231" s="112"/>
      <c r="J231" s="112"/>
      <c r="K231" s="112"/>
      <c r="L231" s="112"/>
      <c r="M231" s="115"/>
      <c r="N231" s="112"/>
      <c r="O231" s="112"/>
      <c r="P231" s="112"/>
      <c r="Q231" s="112"/>
      <c r="R231" s="112"/>
      <c r="S231" s="112"/>
      <c r="T231" s="112"/>
      <c r="U231" s="112"/>
      <c r="V231" s="112"/>
      <c r="W231" s="112"/>
      <c r="X231" s="112"/>
      <c r="Y231" s="112"/>
      <c r="Z231" s="112"/>
      <c r="AA231" s="112"/>
      <c r="AB231" s="112"/>
      <c r="AC231" s="112"/>
      <c r="AD231" s="112"/>
      <c r="AE231" s="112"/>
      <c r="AF231" s="112"/>
      <c r="AG231" s="112"/>
      <c r="AH231" s="112"/>
      <c r="AI231" s="112"/>
      <c r="AJ231" s="112"/>
      <c r="AK231" s="112"/>
      <c r="AL231" s="112"/>
      <c r="AM231" s="112"/>
      <c r="AN231" s="112"/>
      <c r="AO231" s="112"/>
      <c r="AP231" s="112"/>
      <c r="AQ231" s="112"/>
      <c r="AR231" s="112"/>
      <c r="AS231" s="112"/>
      <c r="AT231" s="112"/>
      <c r="AU231" s="293"/>
    </row>
    <row r="232" spans="1:47" x14ac:dyDescent="0.2">
      <c r="A232" s="135"/>
      <c r="B232" s="135"/>
      <c r="C232" s="112"/>
      <c r="D232" s="112" t="s">
        <v>2608</v>
      </c>
      <c r="E232" s="112"/>
      <c r="F232" s="112" t="s">
        <v>2563</v>
      </c>
      <c r="G232" s="112"/>
      <c r="H232" s="115" t="s">
        <v>2564</v>
      </c>
      <c r="I232" s="112"/>
      <c r="J232" s="112" t="s">
        <v>2565</v>
      </c>
      <c r="K232" s="112"/>
      <c r="L232" s="112"/>
      <c r="M232" s="115"/>
      <c r="N232" s="112"/>
      <c r="O232" s="112"/>
      <c r="P232" s="112"/>
      <c r="Q232" s="112"/>
      <c r="R232" s="112"/>
      <c r="S232" s="112"/>
      <c r="T232" s="112"/>
      <c r="U232" s="112"/>
      <c r="V232" s="112"/>
      <c r="W232" s="112"/>
      <c r="X232" s="112"/>
      <c r="Y232" s="112">
        <v>375</v>
      </c>
      <c r="Z232" s="112"/>
      <c r="AA232" s="112"/>
      <c r="AB232" s="112"/>
      <c r="AC232" s="112"/>
      <c r="AD232" s="112"/>
      <c r="AE232" s="112"/>
      <c r="AF232" s="112"/>
      <c r="AG232" s="112"/>
      <c r="AH232" s="112"/>
      <c r="AI232" s="112"/>
      <c r="AJ232" s="112"/>
      <c r="AK232" s="112"/>
      <c r="AL232" s="112"/>
      <c r="AM232" s="112"/>
      <c r="AN232" s="112"/>
      <c r="AO232" s="112"/>
      <c r="AP232" s="112"/>
      <c r="AQ232" s="112"/>
      <c r="AR232" s="112"/>
      <c r="AS232" s="112"/>
      <c r="AT232" s="112"/>
      <c r="AU232" s="293"/>
    </row>
    <row r="233" spans="1:47" x14ac:dyDescent="0.2">
      <c r="A233" s="135"/>
      <c r="B233" s="135"/>
      <c r="C233" s="473" t="s">
        <v>2561</v>
      </c>
      <c r="D233" s="471" t="s">
        <v>2562</v>
      </c>
      <c r="E233" s="462" t="s">
        <v>825</v>
      </c>
      <c r="F233" s="471" t="s">
        <v>2562</v>
      </c>
      <c r="G233" s="462" t="s">
        <v>825</v>
      </c>
      <c r="H233" s="471" t="s">
        <v>2562</v>
      </c>
      <c r="I233" s="462" t="s">
        <v>825</v>
      </c>
      <c r="J233" s="471" t="s">
        <v>2562</v>
      </c>
      <c r="K233" s="473"/>
      <c r="L233" s="473"/>
      <c r="M233" s="472" t="s">
        <v>825</v>
      </c>
      <c r="N233" s="112"/>
      <c r="O233" s="112"/>
      <c r="P233" s="112"/>
      <c r="Q233" s="112"/>
      <c r="R233" s="112"/>
      <c r="S233" s="112"/>
      <c r="T233" s="112"/>
      <c r="U233" s="112"/>
      <c r="V233" s="112"/>
      <c r="W233" s="112"/>
      <c r="X233" s="112"/>
      <c r="Y233" s="112"/>
      <c r="Z233" s="112"/>
      <c r="AA233" s="112"/>
      <c r="AB233" s="112"/>
      <c r="AC233" s="112"/>
      <c r="AD233" s="112"/>
      <c r="AE233" s="112"/>
      <c r="AF233" s="112"/>
      <c r="AG233" s="112"/>
      <c r="AH233" s="112"/>
      <c r="AI233" s="112"/>
      <c r="AJ233" s="112"/>
      <c r="AK233" s="112"/>
      <c r="AL233" s="112"/>
      <c r="AM233" s="112"/>
      <c r="AN233" s="112"/>
      <c r="AO233" s="112"/>
      <c r="AP233" s="112"/>
      <c r="AQ233" s="112"/>
      <c r="AR233" s="112"/>
      <c r="AS233" s="112"/>
      <c r="AT233" s="112"/>
      <c r="AU233" s="293"/>
    </row>
    <row r="234" spans="1:47" x14ac:dyDescent="0.2">
      <c r="A234" s="135"/>
      <c r="B234" s="135"/>
      <c r="C234" s="112"/>
      <c r="D234" s="112"/>
      <c r="E234" s="112"/>
      <c r="F234" s="112"/>
      <c r="G234" s="112"/>
      <c r="H234" s="115"/>
      <c r="I234" s="112"/>
      <c r="J234" s="112"/>
      <c r="K234" s="112"/>
      <c r="L234" s="112"/>
      <c r="M234" s="115"/>
      <c r="N234" s="112"/>
      <c r="O234" s="112"/>
      <c r="P234" s="112"/>
      <c r="Q234" s="112"/>
      <c r="R234" s="112"/>
      <c r="S234" s="112"/>
      <c r="T234" s="112"/>
      <c r="U234" s="112"/>
      <c r="V234" s="112"/>
      <c r="W234" s="112" t="s">
        <v>2655</v>
      </c>
      <c r="X234" s="504" t="s">
        <v>2634</v>
      </c>
      <c r="Y234" s="504"/>
      <c r="Z234" s="504" t="s">
        <v>2697</v>
      </c>
      <c r="AA234" s="504"/>
      <c r="AB234" s="112"/>
      <c r="AC234" s="112"/>
      <c r="AD234" s="112"/>
      <c r="AE234" s="112"/>
      <c r="AF234" s="112"/>
      <c r="AG234" s="112"/>
      <c r="AH234" s="112"/>
      <c r="AI234" s="112"/>
      <c r="AJ234" s="112"/>
      <c r="AK234" s="112"/>
      <c r="AL234" s="112"/>
      <c r="AM234" s="112"/>
      <c r="AN234" s="112"/>
      <c r="AO234" s="112"/>
      <c r="AP234" s="112"/>
      <c r="AQ234" s="112"/>
      <c r="AR234" s="112"/>
      <c r="AS234" s="112"/>
      <c r="AT234" s="112"/>
      <c r="AU234" s="293"/>
    </row>
    <row r="235" spans="1:47" x14ac:dyDescent="0.2">
      <c r="A235" s="135"/>
      <c r="B235" s="135"/>
      <c r="C235" s="462">
        <v>2013</v>
      </c>
      <c r="D235" s="112">
        <v>0</v>
      </c>
      <c r="E235" s="112">
        <v>7.0599999999999996E-2</v>
      </c>
      <c r="F235" s="112">
        <v>0</v>
      </c>
      <c r="G235" s="116">
        <v>0</v>
      </c>
      <c r="H235" s="115">
        <v>0</v>
      </c>
      <c r="I235" s="116">
        <v>0</v>
      </c>
      <c r="J235" s="112">
        <v>0</v>
      </c>
      <c r="K235" s="112"/>
      <c r="L235" s="112"/>
      <c r="M235" s="431">
        <v>0.19</v>
      </c>
      <c r="N235" s="112"/>
      <c r="O235" s="112"/>
      <c r="P235" s="112"/>
      <c r="Q235" s="112"/>
      <c r="R235" s="112"/>
      <c r="S235" s="112"/>
      <c r="T235" s="112"/>
      <c r="U235" s="112"/>
      <c r="V235" s="112"/>
      <c r="W235" s="112" t="s">
        <v>2165</v>
      </c>
      <c r="X235" s="388" t="s">
        <v>2698</v>
      </c>
      <c r="Y235" s="388" t="s">
        <v>1333</v>
      </c>
      <c r="Z235" s="388" t="s">
        <v>2698</v>
      </c>
      <c r="AA235" s="388" t="s">
        <v>1333</v>
      </c>
      <c r="AB235" s="112"/>
      <c r="AC235" s="112"/>
      <c r="AD235" s="112"/>
      <c r="AE235" s="112"/>
      <c r="AF235" s="112"/>
      <c r="AG235" s="112"/>
      <c r="AH235" s="112"/>
      <c r="AI235" s="112"/>
      <c r="AJ235" s="112"/>
      <c r="AK235" s="112"/>
      <c r="AL235" s="112"/>
      <c r="AM235" s="112"/>
      <c r="AN235" s="112"/>
      <c r="AO235" s="112"/>
      <c r="AP235" s="112"/>
      <c r="AQ235" s="112"/>
      <c r="AR235" s="112"/>
      <c r="AS235" s="112"/>
      <c r="AT235" s="112"/>
      <c r="AU235" s="293"/>
    </row>
    <row r="236" spans="1:47" x14ac:dyDescent="0.2">
      <c r="A236" s="135"/>
      <c r="B236" s="135"/>
      <c r="C236" s="462"/>
      <c r="D236" s="112"/>
      <c r="E236" s="112"/>
      <c r="F236" s="112"/>
      <c r="G236" s="112"/>
      <c r="H236" s="115"/>
      <c r="I236" s="112"/>
      <c r="J236" s="112"/>
      <c r="K236" s="112"/>
      <c r="L236" s="112"/>
      <c r="M236" s="431"/>
      <c r="N236" s="112"/>
      <c r="O236" s="112"/>
      <c r="P236" s="112"/>
      <c r="Q236" s="112"/>
      <c r="R236" s="112"/>
      <c r="S236" s="112"/>
      <c r="T236" s="112"/>
      <c r="U236" s="112"/>
      <c r="V236" s="112"/>
      <c r="W236" s="112">
        <v>1.5</v>
      </c>
      <c r="X236" s="112">
        <f t="shared" ref="X236:X263" si="1">55*(W236/0.5)</f>
        <v>165</v>
      </c>
      <c r="Y236" s="112">
        <f>535+Y232</f>
        <v>910</v>
      </c>
      <c r="Z236" s="112">
        <f>55*(W236/0.5)</f>
        <v>165</v>
      </c>
      <c r="AA236" s="112">
        <f>535+Y232</f>
        <v>910</v>
      </c>
      <c r="AB236" s="112"/>
      <c r="AC236" s="112" t="s">
        <v>2661</v>
      </c>
      <c r="AD236" s="112" t="s">
        <v>2662</v>
      </c>
      <c r="AE236" s="112" t="s">
        <v>2663</v>
      </c>
      <c r="AF236" s="112" t="s">
        <v>2664</v>
      </c>
      <c r="AG236" s="112" t="s">
        <v>2665</v>
      </c>
      <c r="AH236" s="112" t="s">
        <v>2666</v>
      </c>
      <c r="AI236" s="112" t="s">
        <v>2667</v>
      </c>
      <c r="AJ236" s="112" t="s">
        <v>2668</v>
      </c>
      <c r="AK236" s="112" t="s">
        <v>2669</v>
      </c>
      <c r="AL236" s="112" t="s">
        <v>2670</v>
      </c>
      <c r="AM236" s="112" t="s">
        <v>2671</v>
      </c>
      <c r="AN236" s="112" t="s">
        <v>2672</v>
      </c>
      <c r="AO236" s="112" t="s">
        <v>2673</v>
      </c>
      <c r="AP236" s="112" t="s">
        <v>2674</v>
      </c>
      <c r="AQ236" s="112" t="s">
        <v>2675</v>
      </c>
      <c r="AR236" s="112" t="s">
        <v>1621</v>
      </c>
      <c r="AS236" s="112"/>
      <c r="AT236" s="112"/>
      <c r="AU236" s="293"/>
    </row>
    <row r="237" spans="1:47" x14ac:dyDescent="0.2">
      <c r="A237" s="135"/>
      <c r="B237" s="135"/>
      <c r="C237" s="462"/>
      <c r="D237" s="112"/>
      <c r="E237" s="112"/>
      <c r="F237" s="112"/>
      <c r="G237" s="431"/>
      <c r="H237" s="115"/>
      <c r="I237" s="112"/>
      <c r="J237" s="112"/>
      <c r="K237" s="112"/>
      <c r="L237" s="112"/>
      <c r="M237" s="431"/>
      <c r="N237" s="112"/>
      <c r="O237" s="112"/>
      <c r="P237" s="112"/>
      <c r="Q237" s="112"/>
      <c r="R237" s="112"/>
      <c r="S237" s="112"/>
      <c r="T237" s="112"/>
      <c r="U237" s="112"/>
      <c r="V237" s="116">
        <f>H37</f>
        <v>6</v>
      </c>
      <c r="W237" s="112">
        <v>2</v>
      </c>
      <c r="X237" s="112">
        <f t="shared" si="1"/>
        <v>220</v>
      </c>
      <c r="Y237" s="117">
        <f>590+Y232</f>
        <v>965</v>
      </c>
      <c r="Z237" s="112">
        <f>55*(W237/0.5)</f>
        <v>220</v>
      </c>
      <c r="AA237" s="117">
        <f>590+Y232</f>
        <v>965</v>
      </c>
      <c r="AB237" s="112"/>
      <c r="AC237" s="112" t="s">
        <v>2676</v>
      </c>
      <c r="AD237" s="112" t="s">
        <v>2677</v>
      </c>
      <c r="AE237" s="112" t="s">
        <v>2678</v>
      </c>
      <c r="AF237" s="112">
        <v>2</v>
      </c>
      <c r="AG237" s="112" t="s">
        <v>2679</v>
      </c>
      <c r="AH237" s="112" t="s">
        <v>2680</v>
      </c>
      <c r="AI237" s="112" t="s">
        <v>2676</v>
      </c>
      <c r="AJ237" s="112" t="s">
        <v>2681</v>
      </c>
      <c r="AK237" s="112" t="s">
        <v>2682</v>
      </c>
      <c r="AL237" s="449">
        <v>42038</v>
      </c>
      <c r="AM237" s="112"/>
      <c r="AN237" s="112"/>
      <c r="AO237" s="112"/>
      <c r="AP237" s="112"/>
      <c r="AQ237" s="112"/>
      <c r="AR237" s="112"/>
      <c r="AS237" s="112"/>
      <c r="AT237" s="112"/>
      <c r="AU237" s="293"/>
    </row>
    <row r="238" spans="1:47" x14ac:dyDescent="0.2">
      <c r="A238" s="135"/>
      <c r="B238" s="135"/>
      <c r="C238" s="462"/>
      <c r="D238" s="112"/>
      <c r="E238" s="112"/>
      <c r="F238" s="112"/>
      <c r="G238" s="112"/>
      <c r="H238" s="115"/>
      <c r="I238" s="112"/>
      <c r="J238" s="112"/>
      <c r="K238" s="112"/>
      <c r="L238" s="112"/>
      <c r="M238" s="431"/>
      <c r="N238" s="112"/>
      <c r="O238" s="112"/>
      <c r="P238" s="112"/>
      <c r="Q238" s="112"/>
      <c r="R238" s="112"/>
      <c r="S238" s="112"/>
      <c r="T238" s="112"/>
      <c r="U238" s="112"/>
      <c r="V238" s="116">
        <f>ROUNDDOWN(V237,0)</f>
        <v>6</v>
      </c>
      <c r="W238" s="112">
        <v>2.5</v>
      </c>
      <c r="X238" s="112">
        <f t="shared" si="1"/>
        <v>275</v>
      </c>
      <c r="Y238" s="117">
        <f>645+Y232</f>
        <v>1020</v>
      </c>
      <c r="Z238" s="112">
        <f>55*(W238/0.5)</f>
        <v>275</v>
      </c>
      <c r="AA238" s="117">
        <f>645+Y232</f>
        <v>1020</v>
      </c>
      <c r="AB238" s="112"/>
      <c r="AC238" s="112" t="s">
        <v>2683</v>
      </c>
      <c r="AD238" s="112">
        <v>0.5</v>
      </c>
      <c r="AE238" s="112" t="s">
        <v>2684</v>
      </c>
      <c r="AF238" s="112"/>
      <c r="AG238" s="112"/>
      <c r="AH238" s="112"/>
      <c r="AI238" s="112"/>
      <c r="AJ238" s="112"/>
      <c r="AK238" s="112"/>
      <c r="AL238" s="112"/>
      <c r="AM238" s="112"/>
      <c r="AN238" s="112"/>
      <c r="AO238" s="112"/>
      <c r="AP238" s="112"/>
      <c r="AQ238" s="112"/>
      <c r="AR238" s="112"/>
      <c r="AS238" s="112"/>
      <c r="AT238" s="112"/>
      <c r="AU238" s="293"/>
    </row>
    <row r="239" spans="1:47" x14ac:dyDescent="0.2">
      <c r="A239" s="135"/>
      <c r="B239" s="135"/>
      <c r="C239" s="462"/>
      <c r="D239" s="112"/>
      <c r="E239" s="112"/>
      <c r="F239" s="112"/>
      <c r="G239" s="431"/>
      <c r="H239" s="115"/>
      <c r="I239" s="112"/>
      <c r="J239" s="112"/>
      <c r="K239" s="112"/>
      <c r="L239" s="112"/>
      <c r="M239" s="431"/>
      <c r="N239" s="112"/>
      <c r="O239" s="112"/>
      <c r="P239" s="112"/>
      <c r="Q239" s="112"/>
      <c r="R239" s="112"/>
      <c r="S239" s="112"/>
      <c r="T239" s="112"/>
      <c r="U239" s="112"/>
      <c r="V239" s="116">
        <f>V237-V238</f>
        <v>0</v>
      </c>
      <c r="W239" s="112">
        <v>3</v>
      </c>
      <c r="X239" s="112">
        <f t="shared" si="1"/>
        <v>330</v>
      </c>
      <c r="Y239" s="474">
        <f>700+Y232</f>
        <v>1075</v>
      </c>
      <c r="Z239" s="112">
        <f>55*(W239/0.5)</f>
        <v>330</v>
      </c>
      <c r="AA239" s="474">
        <f>700+Y232</f>
        <v>1075</v>
      </c>
      <c r="AB239" s="112"/>
      <c r="AC239" s="112" t="s">
        <v>2656</v>
      </c>
      <c r="AD239" s="112"/>
      <c r="AE239" s="112"/>
      <c r="AF239" s="112"/>
      <c r="AG239" s="112"/>
      <c r="AH239" s="112"/>
      <c r="AI239" s="112"/>
      <c r="AJ239" s="112"/>
      <c r="AK239" s="112"/>
      <c r="AL239" s="112"/>
      <c r="AM239" s="112"/>
      <c r="AN239" s="112"/>
      <c r="AO239" s="112"/>
      <c r="AP239" s="112"/>
      <c r="AQ239" s="112"/>
      <c r="AR239" s="112"/>
      <c r="AS239" s="112"/>
      <c r="AT239" s="112"/>
      <c r="AU239" s="293"/>
    </row>
    <row r="240" spans="1:47" x14ac:dyDescent="0.2">
      <c r="A240" s="135"/>
      <c r="B240" s="135"/>
      <c r="C240" s="112"/>
      <c r="D240" s="112"/>
      <c r="E240" s="112"/>
      <c r="F240" s="112"/>
      <c r="G240" s="112"/>
      <c r="H240" s="115"/>
      <c r="I240" s="112"/>
      <c r="J240" s="112"/>
      <c r="K240" s="112"/>
      <c r="L240" s="112"/>
      <c r="M240" s="115"/>
      <c r="N240" s="112"/>
      <c r="O240" s="112"/>
      <c r="P240" s="112"/>
      <c r="Q240" s="112"/>
      <c r="R240" s="112"/>
      <c r="S240" s="112"/>
      <c r="T240" s="112"/>
      <c r="U240" s="112"/>
      <c r="V240" s="112">
        <f>IF(V239&gt;=0.5,V238+0.5,V238)</f>
        <v>6</v>
      </c>
      <c r="W240" s="112">
        <v>3.5</v>
      </c>
      <c r="X240" s="112">
        <f t="shared" si="1"/>
        <v>385</v>
      </c>
      <c r="Y240" s="117">
        <f>Y239+55</f>
        <v>1130</v>
      </c>
      <c r="Z240" s="112"/>
      <c r="AA240" s="117"/>
      <c r="AB240" s="112"/>
      <c r="AC240" s="112">
        <v>1.5</v>
      </c>
      <c r="AD240" s="112" t="s">
        <v>2685</v>
      </c>
      <c r="AE240" s="112"/>
      <c r="AF240" s="112"/>
      <c r="AG240" s="112"/>
      <c r="AH240" s="112"/>
      <c r="AI240" s="112"/>
      <c r="AJ240" s="112"/>
      <c r="AK240" s="112"/>
      <c r="AL240" s="112"/>
      <c r="AM240" s="112"/>
      <c r="AN240" s="112"/>
      <c r="AO240" s="112"/>
      <c r="AP240" s="112"/>
      <c r="AQ240" s="112"/>
      <c r="AR240" s="112"/>
      <c r="AS240" s="112"/>
      <c r="AT240" s="112"/>
      <c r="AU240" s="293"/>
    </row>
    <row r="241" spans="1:47" s="4" customFormat="1" x14ac:dyDescent="0.2">
      <c r="A241" s="322"/>
      <c r="B241" s="322"/>
      <c r="C241" s="388"/>
      <c r="D241" s="388"/>
      <c r="E241" s="388">
        <f>E235</f>
        <v>7.0599999999999996E-2</v>
      </c>
      <c r="F241" s="388"/>
      <c r="G241" s="475">
        <f>G235</f>
        <v>0</v>
      </c>
      <c r="H241" s="476"/>
      <c r="I241" s="477">
        <f>I235</f>
        <v>0</v>
      </c>
      <c r="J241" s="388"/>
      <c r="K241" s="388"/>
      <c r="L241" s="388"/>
      <c r="M241" s="478">
        <f>M235</f>
        <v>0.19</v>
      </c>
      <c r="N241" s="388">
        <v>0.18</v>
      </c>
      <c r="O241" s="388"/>
      <c r="P241" s="112"/>
      <c r="Q241" s="112"/>
      <c r="R241" s="112"/>
      <c r="S241" s="112"/>
      <c r="T241" s="112"/>
      <c r="U241" s="112">
        <f>IF(F67=AA228,V242,V241)</f>
        <v>1405</v>
      </c>
      <c r="V241" s="388">
        <f>IF(OR(V240&gt;15,H113&lt;900),0,VLOOKUP(V240,W237:Y263,IF(X235=G67,2,3),TRUE))</f>
        <v>1405</v>
      </c>
      <c r="W241" s="112">
        <v>4</v>
      </c>
      <c r="X241" s="112">
        <f t="shared" si="1"/>
        <v>440</v>
      </c>
      <c r="Y241" s="117">
        <f t="shared" ref="Y241:Y263" si="2">Y240+55</f>
        <v>1185</v>
      </c>
      <c r="Z241" s="112"/>
      <c r="AA241" s="117"/>
      <c r="AB241" s="388"/>
      <c r="AC241" s="388" t="s">
        <v>2657</v>
      </c>
      <c r="AD241" s="388"/>
      <c r="AE241" s="388"/>
      <c r="AF241" s="388"/>
      <c r="AG241" s="388"/>
      <c r="AH241" s="388"/>
      <c r="AI241" s="388"/>
      <c r="AJ241" s="388"/>
      <c r="AK241" s="388"/>
      <c r="AL241" s="388"/>
      <c r="AM241" s="388"/>
      <c r="AN241" s="388"/>
      <c r="AO241" s="388"/>
      <c r="AP241" s="388"/>
      <c r="AQ241" s="388"/>
      <c r="AR241" s="388"/>
      <c r="AS241" s="388"/>
      <c r="AT241" s="388"/>
      <c r="AU241" s="479"/>
    </row>
    <row r="242" spans="1:47" x14ac:dyDescent="0.2">
      <c r="A242" s="135"/>
      <c r="B242" s="135"/>
      <c r="C242" s="112"/>
      <c r="D242" s="112"/>
      <c r="E242" s="431">
        <f>IF(AND($H$37&gt;5,$H$37&lt;=20),E241,IF($H$37&gt;20,G241,0))</f>
        <v>7.0599999999999996E-2</v>
      </c>
      <c r="F242" s="112"/>
      <c r="G242" s="431"/>
      <c r="H242" s="115"/>
      <c r="I242" s="431">
        <f>IF(AND($H$37&gt;5,$H$37&lt;=20),I241,IF($H$37&gt;20,M241,0))</f>
        <v>0</v>
      </c>
      <c r="J242" s="112"/>
      <c r="K242" s="112"/>
      <c r="L242" s="112"/>
      <c r="M242" s="115"/>
      <c r="N242" s="112"/>
      <c r="O242" s="112"/>
      <c r="P242" s="112"/>
      <c r="Q242" s="112"/>
      <c r="R242" s="112"/>
      <c r="S242" s="112"/>
      <c r="T242" s="112"/>
      <c r="U242" s="112"/>
      <c r="V242" s="112">
        <f>IF(OR(V240&gt;15,H113&lt;900),0,VLOOKUP(V240,W237:AA263,IF(X235=G67,4,5),TRUE))</f>
        <v>0</v>
      </c>
      <c r="W242" s="112">
        <v>4.5</v>
      </c>
      <c r="X242" s="112">
        <f t="shared" si="1"/>
        <v>495</v>
      </c>
      <c r="Y242" s="117">
        <f t="shared" si="2"/>
        <v>1240</v>
      </c>
      <c r="Z242" s="112"/>
      <c r="AA242" s="117"/>
      <c r="AB242" s="112"/>
      <c r="AC242" s="112">
        <v>2</v>
      </c>
      <c r="AD242" s="112" t="s">
        <v>2685</v>
      </c>
      <c r="AE242" s="112"/>
      <c r="AF242" s="112"/>
      <c r="AG242" s="112"/>
      <c r="AH242" s="112"/>
      <c r="AI242" s="112"/>
      <c r="AJ242" s="112"/>
      <c r="AK242" s="112"/>
      <c r="AL242" s="112"/>
      <c r="AM242" s="112"/>
      <c r="AN242" s="112"/>
      <c r="AO242" s="112"/>
      <c r="AP242" s="112"/>
      <c r="AQ242" s="112"/>
      <c r="AR242" s="112"/>
      <c r="AS242" s="112"/>
      <c r="AT242" s="112"/>
      <c r="AU242" s="293"/>
    </row>
    <row r="243" spans="1:47" x14ac:dyDescent="0.2">
      <c r="A243" s="135"/>
      <c r="B243" s="135"/>
      <c r="C243" s="112"/>
      <c r="D243" s="112"/>
      <c r="E243" s="388">
        <f>IF($C$55=C225,E242,I242)</f>
        <v>7.0599999999999996E-2</v>
      </c>
      <c r="F243" s="112"/>
      <c r="G243" s="112"/>
      <c r="H243" s="115"/>
      <c r="I243" s="112"/>
      <c r="J243" s="112"/>
      <c r="K243" s="112"/>
      <c r="L243" s="112"/>
      <c r="M243" s="115"/>
      <c r="N243" s="112"/>
      <c r="O243" s="112"/>
      <c r="P243" s="112"/>
      <c r="Q243" s="112"/>
      <c r="R243" s="112"/>
      <c r="S243" s="112"/>
      <c r="T243" s="112"/>
      <c r="U243" s="112"/>
      <c r="V243" s="112"/>
      <c r="W243" s="112">
        <v>5</v>
      </c>
      <c r="X243" s="112">
        <f t="shared" si="1"/>
        <v>550</v>
      </c>
      <c r="Y243" s="117">
        <f t="shared" si="2"/>
        <v>1295</v>
      </c>
      <c r="Z243" s="112"/>
      <c r="AA243" s="117"/>
      <c r="AB243" s="112"/>
      <c r="AC243" s="112" t="s">
        <v>2658</v>
      </c>
      <c r="AD243" s="112"/>
      <c r="AE243" s="112"/>
      <c r="AF243" s="112"/>
      <c r="AG243" s="112"/>
      <c r="AH243" s="112"/>
      <c r="AI243" s="112"/>
      <c r="AJ243" s="112"/>
      <c r="AK243" s="112"/>
      <c r="AL243" s="112"/>
      <c r="AM243" s="112"/>
      <c r="AN243" s="112"/>
      <c r="AO243" s="112"/>
      <c r="AP243" s="112"/>
      <c r="AQ243" s="112"/>
      <c r="AR243" s="112"/>
      <c r="AS243" s="112"/>
      <c r="AT243" s="112"/>
      <c r="AU243" s="293"/>
    </row>
    <row r="244" spans="1:47" x14ac:dyDescent="0.2">
      <c r="A244" s="135"/>
      <c r="B244" s="135"/>
      <c r="C244" s="112"/>
      <c r="D244" s="112"/>
      <c r="E244" s="475"/>
      <c r="F244" s="112"/>
      <c r="G244" s="112"/>
      <c r="H244" s="115"/>
      <c r="I244" s="112"/>
      <c r="J244" s="112"/>
      <c r="K244" s="112"/>
      <c r="L244" s="112"/>
      <c r="M244" s="115"/>
      <c r="N244" s="112"/>
      <c r="O244" s="112"/>
      <c r="P244" s="112"/>
      <c r="Q244" s="112"/>
      <c r="R244" s="112"/>
      <c r="S244" s="112"/>
      <c r="T244" s="112"/>
      <c r="U244" s="112"/>
      <c r="V244" s="112"/>
      <c r="W244" s="388">
        <v>5.5</v>
      </c>
      <c r="X244" s="112">
        <f t="shared" si="1"/>
        <v>605</v>
      </c>
      <c r="Y244" s="117">
        <f t="shared" si="2"/>
        <v>1350</v>
      </c>
      <c r="Z244" s="112"/>
      <c r="AA244" s="117"/>
      <c r="AB244" s="112"/>
      <c r="AC244" s="112">
        <v>2.5</v>
      </c>
      <c r="AD244" s="112" t="s">
        <v>2685</v>
      </c>
      <c r="AE244" s="112"/>
      <c r="AF244" s="112"/>
      <c r="AG244" s="112"/>
      <c r="AH244" s="112"/>
      <c r="AI244" s="112"/>
      <c r="AJ244" s="112"/>
      <c r="AK244" s="112"/>
      <c r="AL244" s="112"/>
      <c r="AM244" s="112"/>
      <c r="AN244" s="112"/>
      <c r="AO244" s="112"/>
      <c r="AP244" s="112"/>
      <c r="AQ244" s="112"/>
      <c r="AR244" s="112"/>
      <c r="AS244" s="112"/>
      <c r="AT244" s="112"/>
      <c r="AU244" s="293"/>
    </row>
    <row r="245" spans="1:47" x14ac:dyDescent="0.2">
      <c r="A245" s="135"/>
      <c r="B245" s="135"/>
      <c r="C245" s="112"/>
      <c r="D245" s="112"/>
      <c r="E245" s="112"/>
      <c r="F245" s="112"/>
      <c r="G245" s="112"/>
      <c r="H245" s="115"/>
      <c r="I245" s="112"/>
      <c r="J245" s="112"/>
      <c r="K245" s="112"/>
      <c r="L245" s="112"/>
      <c r="M245" s="115"/>
      <c r="N245" s="112"/>
      <c r="O245" s="112"/>
      <c r="P245" s="112"/>
      <c r="Q245" s="112"/>
      <c r="R245" s="112"/>
      <c r="S245" s="112"/>
      <c r="T245" s="112"/>
      <c r="U245" s="112"/>
      <c r="V245" s="112"/>
      <c r="W245" s="112">
        <v>6</v>
      </c>
      <c r="X245" s="112">
        <f t="shared" si="1"/>
        <v>660</v>
      </c>
      <c r="Y245" s="117">
        <f t="shared" si="2"/>
        <v>1405</v>
      </c>
      <c r="Z245" s="112"/>
      <c r="AA245" s="117"/>
      <c r="AB245" s="112"/>
      <c r="AC245" s="112" t="s">
        <v>2659</v>
      </c>
      <c r="AD245" s="112"/>
      <c r="AE245" s="112"/>
      <c r="AF245" s="112"/>
      <c r="AG245" s="112"/>
      <c r="AH245" s="112"/>
      <c r="AI245" s="112"/>
      <c r="AJ245" s="112"/>
      <c r="AK245" s="112"/>
      <c r="AL245" s="112"/>
      <c r="AM245" s="112"/>
      <c r="AN245" s="112"/>
      <c r="AO245" s="112"/>
      <c r="AP245" s="112"/>
      <c r="AQ245" s="112"/>
      <c r="AR245" s="112"/>
      <c r="AS245" s="112"/>
      <c r="AT245" s="112"/>
      <c r="AU245" s="293"/>
    </row>
    <row r="246" spans="1:47" x14ac:dyDescent="0.2">
      <c r="A246" s="135"/>
      <c r="B246" s="135"/>
      <c r="C246" s="112"/>
      <c r="D246" s="112"/>
      <c r="E246" s="112" t="s">
        <v>899</v>
      </c>
      <c r="F246" s="112" t="s">
        <v>465</v>
      </c>
      <c r="G246" s="112"/>
      <c r="H246" s="115"/>
      <c r="I246" s="112"/>
      <c r="J246" s="112"/>
      <c r="K246" s="112"/>
      <c r="L246" s="112"/>
      <c r="M246" s="115"/>
      <c r="N246" s="112"/>
      <c r="O246" s="112"/>
      <c r="P246" s="388"/>
      <c r="Q246" s="388"/>
      <c r="R246" s="112"/>
      <c r="S246" s="112"/>
      <c r="T246" s="112"/>
      <c r="U246" s="112"/>
      <c r="V246" s="388"/>
      <c r="W246" s="112">
        <v>6.5</v>
      </c>
      <c r="X246" s="112">
        <f t="shared" si="1"/>
        <v>715</v>
      </c>
      <c r="Y246" s="117">
        <f t="shared" si="2"/>
        <v>1460</v>
      </c>
      <c r="Z246" s="112"/>
      <c r="AA246" s="117"/>
      <c r="AB246" s="112"/>
      <c r="AC246" s="112">
        <v>3</v>
      </c>
      <c r="AD246" s="112" t="s">
        <v>2685</v>
      </c>
      <c r="AE246" s="112"/>
      <c r="AF246" s="112"/>
      <c r="AG246" s="112"/>
      <c r="AH246" s="112"/>
      <c r="AI246" s="112"/>
      <c r="AJ246" s="112"/>
      <c r="AK246" s="112"/>
      <c r="AL246" s="112"/>
      <c r="AM246" s="112"/>
      <c r="AN246" s="112"/>
      <c r="AO246" s="112"/>
      <c r="AP246" s="112"/>
      <c r="AQ246" s="112"/>
      <c r="AR246" s="112"/>
      <c r="AS246" s="112"/>
      <c r="AT246" s="112"/>
      <c r="AU246" s="293"/>
    </row>
    <row r="247" spans="1:47" x14ac:dyDescent="0.2">
      <c r="A247" s="135"/>
      <c r="B247" s="135"/>
      <c r="C247" s="112">
        <v>2013</v>
      </c>
      <c r="D247" s="112"/>
      <c r="E247" s="112" t="s">
        <v>2609</v>
      </c>
      <c r="F247" s="112" t="s">
        <v>2609</v>
      </c>
      <c r="G247" s="112"/>
      <c r="H247" s="115"/>
      <c r="I247" s="112"/>
      <c r="J247" s="112"/>
      <c r="K247" s="112"/>
      <c r="L247" s="112"/>
      <c r="M247" s="115"/>
      <c r="N247" s="112"/>
      <c r="O247" s="112"/>
      <c r="P247" s="112"/>
      <c r="Q247" s="112"/>
      <c r="R247" s="112"/>
      <c r="S247" s="112"/>
      <c r="T247" s="112"/>
      <c r="U247" s="112"/>
      <c r="V247" s="112"/>
      <c r="W247" s="112">
        <v>7</v>
      </c>
      <c r="X247" s="112">
        <f t="shared" si="1"/>
        <v>770</v>
      </c>
      <c r="Y247" s="117">
        <f t="shared" si="2"/>
        <v>1515</v>
      </c>
      <c r="Z247" s="112"/>
      <c r="AA247" s="117"/>
      <c r="AB247" s="112"/>
      <c r="AC247" s="112" t="s">
        <v>2660</v>
      </c>
      <c r="AD247" s="112"/>
      <c r="AE247" s="112"/>
      <c r="AF247" s="112"/>
      <c r="AG247" s="112"/>
      <c r="AH247" s="112"/>
      <c r="AI247" s="112"/>
      <c r="AJ247" s="112"/>
      <c r="AK247" s="112"/>
      <c r="AL247" s="112"/>
      <c r="AM247" s="112"/>
      <c r="AN247" s="112"/>
      <c r="AO247" s="112"/>
      <c r="AP247" s="112"/>
      <c r="AQ247" s="112"/>
      <c r="AR247" s="112"/>
      <c r="AS247" s="112"/>
      <c r="AT247" s="112"/>
      <c r="AU247" s="293"/>
    </row>
    <row r="248" spans="1:47" x14ac:dyDescent="0.2">
      <c r="A248" s="293"/>
      <c r="B248" s="293"/>
      <c r="C248" s="112"/>
      <c r="D248" s="112"/>
      <c r="E248" s="112">
        <v>0.1812</v>
      </c>
      <c r="F248" s="112">
        <v>0.16589999999999999</v>
      </c>
      <c r="G248" s="112"/>
      <c r="H248" s="115"/>
      <c r="I248" s="112"/>
      <c r="J248" s="112"/>
      <c r="K248" s="112"/>
      <c r="L248" s="112"/>
      <c r="M248" s="115"/>
      <c r="N248" s="112"/>
      <c r="O248" s="112"/>
      <c r="P248" s="112"/>
      <c r="Q248" s="112"/>
      <c r="R248" s="112"/>
      <c r="S248" s="388"/>
      <c r="T248" s="388"/>
      <c r="U248" s="388"/>
      <c r="V248" s="112"/>
      <c r="W248" s="112">
        <v>7.5</v>
      </c>
      <c r="X248" s="112">
        <f t="shared" si="1"/>
        <v>825</v>
      </c>
      <c r="Y248" s="117">
        <f t="shared" si="2"/>
        <v>1570</v>
      </c>
      <c r="Z248" s="112"/>
      <c r="AA248" s="117"/>
      <c r="AB248" s="112"/>
      <c r="AC248" s="112" t="s">
        <v>2676</v>
      </c>
      <c r="AD248" s="112" t="s">
        <v>2686</v>
      </c>
      <c r="AE248" s="112">
        <v>3</v>
      </c>
      <c r="AF248" s="112" t="s">
        <v>2679</v>
      </c>
      <c r="AG248" s="112"/>
      <c r="AH248" s="112"/>
      <c r="AI248" s="112"/>
      <c r="AJ248" s="112"/>
      <c r="AK248" s="112"/>
      <c r="AL248" s="112"/>
      <c r="AM248" s="112"/>
      <c r="AN248" s="112"/>
      <c r="AO248" s="112"/>
      <c r="AP248" s="112"/>
      <c r="AQ248" s="112"/>
      <c r="AR248" s="112"/>
      <c r="AS248" s="112"/>
      <c r="AT248" s="112"/>
      <c r="AU248" s="293"/>
    </row>
    <row r="249" spans="1:47" x14ac:dyDescent="0.2">
      <c r="A249" s="293"/>
      <c r="B249" s="293"/>
      <c r="C249" s="112" t="s">
        <v>2610</v>
      </c>
      <c r="D249" s="112"/>
      <c r="E249" s="112">
        <v>0.18</v>
      </c>
      <c r="F249" s="112">
        <v>0</v>
      </c>
      <c r="G249" s="112"/>
      <c r="H249" s="115"/>
      <c r="I249" s="112"/>
      <c r="J249" s="112"/>
      <c r="K249" s="112"/>
      <c r="L249" s="112"/>
      <c r="M249" s="115"/>
      <c r="N249" s="112"/>
      <c r="O249" s="112"/>
      <c r="P249" s="112"/>
      <c r="Q249" s="112"/>
      <c r="R249" s="112"/>
      <c r="S249" s="112"/>
      <c r="T249" s="112"/>
      <c r="U249" s="112"/>
      <c r="V249" s="112"/>
      <c r="W249" s="112">
        <v>8</v>
      </c>
      <c r="X249" s="112">
        <f t="shared" si="1"/>
        <v>880</v>
      </c>
      <c r="Y249" s="117">
        <f t="shared" si="2"/>
        <v>1625</v>
      </c>
      <c r="Z249" s="112"/>
      <c r="AA249" s="117"/>
      <c r="AB249" s="112"/>
      <c r="AC249" s="112" t="s">
        <v>2687</v>
      </c>
      <c r="AD249" s="112" t="s">
        <v>2688</v>
      </c>
      <c r="AE249" s="112"/>
      <c r="AF249" s="112"/>
      <c r="AG249" s="112"/>
      <c r="AH249" s="112"/>
      <c r="AI249" s="112"/>
      <c r="AJ249" s="112"/>
      <c r="AK249" s="112"/>
      <c r="AL249" s="112"/>
      <c r="AM249" s="112"/>
      <c r="AN249" s="112"/>
      <c r="AO249" s="112"/>
      <c r="AP249" s="112"/>
      <c r="AQ249" s="112"/>
      <c r="AR249" s="112"/>
      <c r="AS249" s="112"/>
      <c r="AT249" s="112"/>
      <c r="AU249" s="293"/>
    </row>
    <row r="250" spans="1:47" x14ac:dyDescent="0.2">
      <c r="A250" s="293"/>
      <c r="B250" s="293"/>
      <c r="C250" s="112" t="s">
        <v>2611</v>
      </c>
      <c r="D250" s="112"/>
      <c r="E250" s="112">
        <v>200</v>
      </c>
      <c r="F250" s="112"/>
      <c r="G250" s="112"/>
      <c r="H250" s="115"/>
      <c r="I250" s="112"/>
      <c r="J250" s="112"/>
      <c r="K250" s="112"/>
      <c r="L250" s="112"/>
      <c r="M250" s="115" t="s">
        <v>261</v>
      </c>
      <c r="N250" s="112">
        <f>IF(OR(H37&lt;1,H37&gt;3,H113&lt;800),0,600)</f>
        <v>0</v>
      </c>
      <c r="O250" s="112"/>
      <c r="P250" s="112"/>
      <c r="Q250" s="112"/>
      <c r="R250" s="112"/>
      <c r="S250" s="112"/>
      <c r="T250" s="112"/>
      <c r="U250" s="112"/>
      <c r="V250" s="112"/>
      <c r="W250" s="112">
        <v>8.5</v>
      </c>
      <c r="X250" s="112">
        <f t="shared" si="1"/>
        <v>935</v>
      </c>
      <c r="Y250" s="117">
        <f t="shared" si="2"/>
        <v>1680</v>
      </c>
      <c r="Z250" s="112"/>
      <c r="AA250" s="117"/>
      <c r="AB250" s="112"/>
      <c r="AC250" s="112" t="s">
        <v>2689</v>
      </c>
      <c r="AD250" s="112">
        <v>3</v>
      </c>
      <c r="AE250" s="112" t="s">
        <v>2690</v>
      </c>
      <c r="AF250" s="112" t="s">
        <v>2691</v>
      </c>
      <c r="AG250" s="112">
        <v>0.5</v>
      </c>
      <c r="AH250" s="112" t="s">
        <v>2165</v>
      </c>
      <c r="AI250" s="112"/>
      <c r="AJ250" s="112"/>
      <c r="AK250" s="112"/>
      <c r="AL250" s="112"/>
      <c r="AM250" s="112"/>
      <c r="AN250" s="112"/>
      <c r="AO250" s="112"/>
      <c r="AP250" s="112"/>
      <c r="AQ250" s="112"/>
      <c r="AR250" s="112"/>
      <c r="AS250" s="112"/>
      <c r="AT250" s="112"/>
      <c r="AU250" s="293"/>
    </row>
    <row r="251" spans="1:47" x14ac:dyDescent="0.2">
      <c r="A251" s="293"/>
      <c r="B251" s="293"/>
      <c r="C251" s="112"/>
      <c r="D251" s="112"/>
      <c r="E251" s="112"/>
      <c r="F251" s="112"/>
      <c r="G251" s="112"/>
      <c r="H251" s="115"/>
      <c r="I251" s="112"/>
      <c r="J251" s="112"/>
      <c r="K251" s="112"/>
      <c r="L251" s="112"/>
      <c r="M251" s="115">
        <f>IF(H87&gt;2000,2000,H87)</f>
        <v>1500</v>
      </c>
      <c r="N251" s="112"/>
      <c r="O251" s="112"/>
      <c r="P251" s="112"/>
      <c r="Q251" s="112"/>
      <c r="R251" s="112"/>
      <c r="S251" s="112"/>
      <c r="T251" s="112"/>
      <c r="U251" s="112"/>
      <c r="V251" s="112"/>
      <c r="W251" s="112">
        <v>9</v>
      </c>
      <c r="X251" s="112">
        <f t="shared" si="1"/>
        <v>990</v>
      </c>
      <c r="Y251" s="117">
        <f t="shared" si="2"/>
        <v>1735</v>
      </c>
      <c r="Z251" s="112"/>
      <c r="AA251" s="117"/>
      <c r="AB251" s="112"/>
      <c r="AC251" s="112" t="s">
        <v>2656</v>
      </c>
      <c r="AD251" s="112"/>
      <c r="AE251" s="112"/>
      <c r="AF251" s="112"/>
      <c r="AG251" s="112"/>
      <c r="AH251" s="112"/>
      <c r="AI251" s="112"/>
      <c r="AJ251" s="112"/>
      <c r="AK251" s="112"/>
      <c r="AL251" s="112"/>
      <c r="AM251" s="112"/>
      <c r="AN251" s="112"/>
      <c r="AO251" s="112"/>
      <c r="AP251" s="112"/>
      <c r="AQ251" s="112"/>
      <c r="AR251" s="112"/>
      <c r="AS251" s="112"/>
      <c r="AT251" s="112"/>
      <c r="AU251" s="293"/>
    </row>
    <row r="252" spans="1:47" x14ac:dyDescent="0.2">
      <c r="A252" s="293"/>
      <c r="B252" s="293"/>
      <c r="C252" s="112"/>
      <c r="D252" s="112"/>
      <c r="E252" s="112"/>
      <c r="F252" s="112"/>
      <c r="G252" s="112"/>
      <c r="H252" s="115"/>
      <c r="I252" s="112"/>
      <c r="J252" s="112"/>
      <c r="K252" s="112"/>
      <c r="L252" s="112"/>
      <c r="M252" s="115">
        <f>H113</f>
        <v>1010.6578352941181</v>
      </c>
      <c r="N252" s="112">
        <f>IF(M252&gt;1100,0.4,IF(M252&lt;900,0,M252/27.5/100))</f>
        <v>0.36751194010695198</v>
      </c>
      <c r="O252" s="480">
        <f>M251*N252</f>
        <v>551.26791016042796</v>
      </c>
      <c r="P252" s="112">
        <f>IF($H$37&gt;2,$O$252*2,$O$252*$H$37)</f>
        <v>1102.5358203208559</v>
      </c>
      <c r="Q252" s="112"/>
      <c r="R252" s="112"/>
      <c r="S252" s="112"/>
      <c r="T252" s="112"/>
      <c r="U252" s="112"/>
      <c r="V252" s="112"/>
      <c r="W252" s="112">
        <v>9.5</v>
      </c>
      <c r="X252" s="112">
        <f t="shared" si="1"/>
        <v>1045</v>
      </c>
      <c r="Y252" s="117">
        <f t="shared" si="2"/>
        <v>1790</v>
      </c>
      <c r="Z252" s="112"/>
      <c r="AA252" s="117"/>
      <c r="AB252" s="112"/>
      <c r="AC252" s="112" t="s">
        <v>2692</v>
      </c>
      <c r="AD252" s="112">
        <v>3</v>
      </c>
      <c r="AE252" s="112" t="s">
        <v>2165</v>
      </c>
      <c r="AF252" s="112" t="s">
        <v>2690</v>
      </c>
      <c r="AG252" s="112" t="s">
        <v>2693</v>
      </c>
      <c r="AH252" s="112" t="s">
        <v>2680</v>
      </c>
      <c r="AI252" s="112" t="s">
        <v>2694</v>
      </c>
      <c r="AJ252" s="112" t="s">
        <v>2165</v>
      </c>
      <c r="AK252" s="112" t="s">
        <v>2690</v>
      </c>
      <c r="AL252" s="112" t="s">
        <v>2676</v>
      </c>
      <c r="AM252" s="112" t="s">
        <v>2695</v>
      </c>
      <c r="AN252" s="112"/>
      <c r="AO252" s="112"/>
      <c r="AP252" s="112"/>
      <c r="AQ252" s="112"/>
      <c r="AR252" s="112"/>
      <c r="AS252" s="112"/>
      <c r="AT252" s="112"/>
      <c r="AU252" s="293"/>
    </row>
    <row r="253" spans="1:47" x14ac:dyDescent="0.2">
      <c r="A253" s="293"/>
      <c r="B253" s="293"/>
      <c r="C253" s="112"/>
      <c r="D253" s="112"/>
      <c r="E253" s="112"/>
      <c r="F253" s="112"/>
      <c r="G253" s="112"/>
      <c r="H253" s="115"/>
      <c r="I253" s="112"/>
      <c r="J253" s="112"/>
      <c r="K253" s="112"/>
      <c r="L253" s="112"/>
      <c r="M253" s="117">
        <f>M252/27.5</f>
        <v>36.751194010695201</v>
      </c>
      <c r="N253" s="112"/>
      <c r="O253" s="112"/>
      <c r="P253" s="112"/>
      <c r="Q253" s="112"/>
      <c r="R253" s="481" t="s">
        <v>1243</v>
      </c>
      <c r="S253" s="112"/>
      <c r="T253" s="112"/>
      <c r="U253" s="112"/>
      <c r="V253" s="112"/>
      <c r="W253" s="112">
        <v>10</v>
      </c>
      <c r="X253" s="112">
        <f t="shared" si="1"/>
        <v>1100</v>
      </c>
      <c r="Y253" s="117">
        <f t="shared" si="2"/>
        <v>1845</v>
      </c>
      <c r="Z253" s="112"/>
      <c r="AA253" s="117"/>
      <c r="AB253" s="112"/>
      <c r="AC253" s="112" t="s">
        <v>2692</v>
      </c>
      <c r="AD253" s="112" t="s">
        <v>2696</v>
      </c>
      <c r="AE253" s="112"/>
      <c r="AF253" s="112"/>
      <c r="AG253" s="112"/>
      <c r="AH253" s="112"/>
      <c r="AI253" s="112"/>
      <c r="AJ253" s="112"/>
      <c r="AK253" s="112"/>
      <c r="AL253" s="112"/>
      <c r="AM253" s="112"/>
      <c r="AN253" s="112"/>
      <c r="AO253" s="112"/>
      <c r="AP253" s="112"/>
      <c r="AQ253" s="112"/>
      <c r="AR253" s="112"/>
      <c r="AS253" s="112"/>
      <c r="AT253" s="112"/>
      <c r="AU253" s="293"/>
    </row>
    <row r="254" spans="1:47" x14ac:dyDescent="0.2">
      <c r="A254" s="293"/>
      <c r="B254" s="293"/>
      <c r="C254" s="112"/>
      <c r="D254" s="112"/>
      <c r="E254" s="112"/>
      <c r="F254" s="112"/>
      <c r="G254" s="112"/>
      <c r="H254" s="115"/>
      <c r="I254" s="112"/>
      <c r="J254" s="112"/>
      <c r="K254" s="112"/>
      <c r="L254" s="112"/>
      <c r="M254" s="115"/>
      <c r="N254" s="112"/>
      <c r="O254" s="112"/>
      <c r="P254" s="112"/>
      <c r="Q254" s="112"/>
      <c r="R254" s="112" t="s">
        <v>102</v>
      </c>
      <c r="S254" s="112" t="s">
        <v>2599</v>
      </c>
      <c r="T254" s="112" t="s">
        <v>2600</v>
      </c>
      <c r="U254" s="112"/>
      <c r="V254" s="112"/>
      <c r="W254" s="112">
        <v>10.5</v>
      </c>
      <c r="X254" s="112">
        <f t="shared" si="1"/>
        <v>1155</v>
      </c>
      <c r="Y254" s="117">
        <f t="shared" si="2"/>
        <v>1900</v>
      </c>
      <c r="Z254" s="112"/>
      <c r="AA254" s="117"/>
      <c r="AB254" s="112"/>
      <c r="AC254" s="112"/>
      <c r="AD254" s="112"/>
      <c r="AE254" s="112"/>
      <c r="AF254" s="112"/>
      <c r="AG254" s="112"/>
      <c r="AH254" s="112"/>
      <c r="AI254" s="112"/>
      <c r="AJ254" s="112"/>
      <c r="AK254" s="112"/>
      <c r="AL254" s="112"/>
      <c r="AM254" s="112"/>
      <c r="AN254" s="112"/>
      <c r="AO254" s="112"/>
      <c r="AP254" s="112"/>
      <c r="AQ254" s="112"/>
      <c r="AR254" s="112"/>
      <c r="AS254" s="112"/>
      <c r="AT254" s="112"/>
      <c r="AU254" s="293"/>
    </row>
    <row r="255" spans="1:47" x14ac:dyDescent="0.2">
      <c r="A255" s="293"/>
      <c r="B255" s="293"/>
      <c r="C255" s="112"/>
      <c r="D255" s="112"/>
      <c r="E255" s="112"/>
      <c r="F255" s="112"/>
      <c r="G255" s="112"/>
      <c r="H255" s="115"/>
      <c r="I255" s="112"/>
      <c r="J255" s="112"/>
      <c r="K255" s="112"/>
      <c r="L255" s="112"/>
      <c r="M255" s="115"/>
      <c r="N255" s="112"/>
      <c r="O255" s="112"/>
      <c r="P255" s="112"/>
      <c r="Q255" s="112">
        <v>1</v>
      </c>
      <c r="R255" s="112">
        <v>500</v>
      </c>
      <c r="S255" s="112">
        <v>800</v>
      </c>
      <c r="T255" s="112">
        <f>SUM(R255:S255)</f>
        <v>1300</v>
      </c>
      <c r="U255" s="112"/>
      <c r="V255" s="112"/>
      <c r="W255" s="112">
        <v>11</v>
      </c>
      <c r="X255" s="112">
        <f t="shared" si="1"/>
        <v>1210</v>
      </c>
      <c r="Y255" s="117">
        <f t="shared" si="2"/>
        <v>1955</v>
      </c>
      <c r="Z255" s="112"/>
      <c r="AA255" s="117"/>
      <c r="AB255" s="112"/>
      <c r="AC255" s="112"/>
      <c r="AD255" s="112"/>
      <c r="AE255" s="112"/>
      <c r="AF255" s="112"/>
      <c r="AG255" s="112"/>
      <c r="AH255" s="112"/>
      <c r="AI255" s="112"/>
      <c r="AJ255" s="112"/>
      <c r="AK255" s="112"/>
      <c r="AL255" s="112"/>
      <c r="AM255" s="112"/>
      <c r="AN255" s="112"/>
      <c r="AO255" s="112"/>
      <c r="AP255" s="112"/>
      <c r="AQ255" s="112"/>
      <c r="AR255" s="112"/>
      <c r="AS255" s="112"/>
      <c r="AT255" s="112"/>
      <c r="AU255" s="293"/>
    </row>
    <row r="256" spans="1:47" x14ac:dyDescent="0.2">
      <c r="A256" s="293"/>
      <c r="B256" s="293"/>
      <c r="C256" s="112"/>
      <c r="D256" s="112"/>
      <c r="E256" s="112"/>
      <c r="F256" s="112"/>
      <c r="G256" s="112"/>
      <c r="H256" s="115"/>
      <c r="I256" s="112"/>
      <c r="J256" s="112"/>
      <c r="K256" s="112"/>
      <c r="L256" s="112"/>
      <c r="M256" s="115"/>
      <c r="N256" s="112"/>
      <c r="O256" s="112"/>
      <c r="P256" s="112"/>
      <c r="Q256" s="112">
        <v>2</v>
      </c>
      <c r="R256" s="112">
        <v>500</v>
      </c>
      <c r="S256" s="112">
        <v>800</v>
      </c>
      <c r="T256" s="112">
        <f t="shared" ref="T256:T262" si="3">SUM(R256:S256)</f>
        <v>1300</v>
      </c>
      <c r="U256" s="112"/>
      <c r="V256" s="112"/>
      <c r="W256" s="112">
        <v>11.5</v>
      </c>
      <c r="X256" s="112">
        <f t="shared" si="1"/>
        <v>1265</v>
      </c>
      <c r="Y256" s="117">
        <f t="shared" si="2"/>
        <v>2010</v>
      </c>
      <c r="Z256" s="112"/>
      <c r="AA256" s="117"/>
      <c r="AB256" s="112"/>
      <c r="AC256" s="112"/>
      <c r="AD256" s="112"/>
      <c r="AE256" s="112"/>
      <c r="AF256" s="112"/>
      <c r="AG256" s="112"/>
      <c r="AH256" s="112"/>
      <c r="AI256" s="112"/>
      <c r="AJ256" s="112"/>
      <c r="AK256" s="112"/>
      <c r="AL256" s="112"/>
      <c r="AM256" s="112"/>
      <c r="AN256" s="112"/>
      <c r="AO256" s="112"/>
      <c r="AP256" s="112"/>
      <c r="AQ256" s="112"/>
      <c r="AR256" s="112"/>
      <c r="AS256" s="112"/>
      <c r="AT256" s="112"/>
      <c r="AU256" s="293"/>
    </row>
    <row r="257" spans="1:47" x14ac:dyDescent="0.2">
      <c r="A257" s="293"/>
      <c r="B257" s="293"/>
      <c r="C257" s="112"/>
      <c r="D257" s="112"/>
      <c r="E257" s="112"/>
      <c r="F257" s="112"/>
      <c r="G257" s="112"/>
      <c r="H257" s="115"/>
      <c r="I257" s="482" t="s">
        <v>2617</v>
      </c>
      <c r="J257" s="112"/>
      <c r="K257" s="112"/>
      <c r="L257" s="112"/>
      <c r="M257" s="115"/>
      <c r="N257" s="112"/>
      <c r="O257" s="112"/>
      <c r="P257" s="112"/>
      <c r="Q257" s="112">
        <v>3</v>
      </c>
      <c r="R257" s="112">
        <v>500</v>
      </c>
      <c r="S257" s="112">
        <v>800</v>
      </c>
      <c r="T257" s="112">
        <f t="shared" si="3"/>
        <v>1300</v>
      </c>
      <c r="U257" s="112"/>
      <c r="V257" s="112"/>
      <c r="W257" s="112">
        <v>12</v>
      </c>
      <c r="X257" s="112">
        <f t="shared" si="1"/>
        <v>1320</v>
      </c>
      <c r="Y257" s="117">
        <f t="shared" si="2"/>
        <v>2065</v>
      </c>
      <c r="Z257" s="112"/>
      <c r="AA257" s="117"/>
      <c r="AB257" s="112"/>
      <c r="AC257" s="112"/>
      <c r="AD257" s="112"/>
      <c r="AE257" s="112"/>
      <c r="AF257" s="112"/>
      <c r="AG257" s="112"/>
      <c r="AH257" s="112"/>
      <c r="AI257" s="112"/>
      <c r="AJ257" s="112"/>
      <c r="AK257" s="112"/>
      <c r="AL257" s="112"/>
      <c r="AM257" s="112"/>
      <c r="AN257" s="112"/>
      <c r="AO257" s="112"/>
      <c r="AP257" s="112"/>
      <c r="AQ257" s="112"/>
      <c r="AR257" s="112"/>
      <c r="AS257" s="112"/>
      <c r="AT257" s="112"/>
      <c r="AU257" s="293"/>
    </row>
    <row r="258" spans="1:47" x14ac:dyDescent="0.2">
      <c r="A258" s="293"/>
      <c r="B258" s="293"/>
      <c r="C258" s="112"/>
      <c r="D258" s="112"/>
      <c r="E258" s="112"/>
      <c r="F258" s="112"/>
      <c r="G258" s="112"/>
      <c r="H258" s="115"/>
      <c r="I258" s="467" t="s">
        <v>2618</v>
      </c>
      <c r="J258" s="112"/>
      <c r="K258" s="112"/>
      <c r="L258" s="112"/>
      <c r="M258" s="115"/>
      <c r="N258" s="112"/>
      <c r="O258" s="112"/>
      <c r="P258" s="112"/>
      <c r="Q258" s="112">
        <v>4</v>
      </c>
      <c r="R258" s="112">
        <v>500</v>
      </c>
      <c r="S258" s="112">
        <v>800</v>
      </c>
      <c r="T258" s="112">
        <f t="shared" si="3"/>
        <v>1300</v>
      </c>
      <c r="U258" s="112"/>
      <c r="V258" s="112"/>
      <c r="W258" s="112">
        <v>12.5</v>
      </c>
      <c r="X258" s="112">
        <f t="shared" si="1"/>
        <v>1375</v>
      </c>
      <c r="Y258" s="117">
        <f t="shared" si="2"/>
        <v>2120</v>
      </c>
      <c r="Z258" s="112"/>
      <c r="AA258" s="117"/>
      <c r="AB258" s="112"/>
      <c r="AC258" s="112"/>
      <c r="AD258" s="112"/>
      <c r="AE258" s="112"/>
      <c r="AF258" s="112"/>
      <c r="AG258" s="112"/>
      <c r="AH258" s="112"/>
      <c r="AI258" s="112"/>
      <c r="AJ258" s="112"/>
      <c r="AK258" s="112"/>
      <c r="AL258" s="112"/>
      <c r="AM258" s="112"/>
      <c r="AN258" s="112"/>
      <c r="AO258" s="112"/>
      <c r="AP258" s="112"/>
      <c r="AQ258" s="112"/>
      <c r="AR258" s="112"/>
      <c r="AS258" s="112"/>
      <c r="AT258" s="112"/>
      <c r="AU258" s="293"/>
    </row>
    <row r="259" spans="1:47" x14ac:dyDescent="0.2">
      <c r="A259" s="293"/>
      <c r="B259" s="293"/>
      <c r="C259" s="112"/>
      <c r="D259" s="112"/>
      <c r="E259" s="112"/>
      <c r="F259" s="112"/>
      <c r="G259" s="112"/>
      <c r="H259" s="115"/>
      <c r="I259" s="467" t="s">
        <v>2619</v>
      </c>
      <c r="J259" s="112"/>
      <c r="K259" s="112"/>
      <c r="L259" s="112"/>
      <c r="M259" s="115"/>
      <c r="N259" s="112"/>
      <c r="O259" s="112"/>
      <c r="P259" s="112"/>
      <c r="Q259" s="112">
        <v>5</v>
      </c>
      <c r="R259" s="112">
        <v>500</v>
      </c>
      <c r="S259" s="112">
        <v>800</v>
      </c>
      <c r="T259" s="112">
        <f t="shared" si="3"/>
        <v>1300</v>
      </c>
      <c r="U259" s="112"/>
      <c r="V259" s="112"/>
      <c r="W259" s="112">
        <v>13</v>
      </c>
      <c r="X259" s="112">
        <f t="shared" si="1"/>
        <v>1430</v>
      </c>
      <c r="Y259" s="117">
        <f t="shared" si="2"/>
        <v>2175</v>
      </c>
      <c r="Z259" s="112"/>
      <c r="AA259" s="117"/>
      <c r="AB259" s="112"/>
      <c r="AC259" s="112"/>
      <c r="AD259" s="112"/>
      <c r="AE259" s="112"/>
      <c r="AF259" s="112"/>
      <c r="AG259" s="112"/>
      <c r="AH259" s="112"/>
      <c r="AI259" s="112"/>
      <c r="AJ259" s="112"/>
      <c r="AK259" s="112"/>
      <c r="AL259" s="112"/>
      <c r="AM259" s="112"/>
      <c r="AN259" s="112"/>
      <c r="AO259" s="112"/>
      <c r="AP259" s="112"/>
      <c r="AQ259" s="112"/>
      <c r="AR259" s="112"/>
      <c r="AS259" s="112"/>
      <c r="AT259" s="112"/>
      <c r="AU259" s="293"/>
    </row>
    <row r="260" spans="1:47" x14ac:dyDescent="0.2">
      <c r="A260" s="293"/>
      <c r="B260" s="293"/>
      <c r="C260" s="112"/>
      <c r="D260" s="112"/>
      <c r="E260" s="112"/>
      <c r="F260" s="112"/>
      <c r="G260" s="112"/>
      <c r="H260" s="115"/>
      <c r="I260" s="467"/>
      <c r="J260" s="112"/>
      <c r="K260" s="112"/>
      <c r="L260" s="112"/>
      <c r="M260" s="115"/>
      <c r="N260" s="112"/>
      <c r="O260" s="112"/>
      <c r="P260" s="112"/>
      <c r="Q260" s="112">
        <v>6</v>
      </c>
      <c r="R260" s="112">
        <v>1000</v>
      </c>
      <c r="S260" s="112">
        <v>0</v>
      </c>
      <c r="T260" s="112">
        <f t="shared" si="3"/>
        <v>1000</v>
      </c>
      <c r="U260" s="112"/>
      <c r="V260" s="112"/>
      <c r="W260" s="112">
        <v>13.5</v>
      </c>
      <c r="X260" s="112">
        <f t="shared" si="1"/>
        <v>1485</v>
      </c>
      <c r="Y260" s="117">
        <f t="shared" si="2"/>
        <v>2230</v>
      </c>
      <c r="Z260" s="112"/>
      <c r="AA260" s="117"/>
      <c r="AB260" s="112"/>
      <c r="AC260" s="112"/>
      <c r="AD260" s="112"/>
      <c r="AE260" s="112"/>
      <c r="AF260" s="112"/>
      <c r="AG260" s="112"/>
      <c r="AH260" s="112"/>
      <c r="AI260" s="112"/>
      <c r="AJ260" s="112"/>
      <c r="AK260" s="112"/>
      <c r="AL260" s="112"/>
      <c r="AM260" s="112"/>
      <c r="AN260" s="112"/>
      <c r="AO260" s="112"/>
      <c r="AP260" s="112"/>
      <c r="AQ260" s="112"/>
      <c r="AR260" s="112"/>
      <c r="AS260" s="112"/>
      <c r="AT260" s="112"/>
      <c r="AU260" s="293"/>
    </row>
    <row r="261" spans="1:47" x14ac:dyDescent="0.2">
      <c r="A261" s="293"/>
      <c r="B261" s="293"/>
      <c r="C261" s="112"/>
      <c r="D261" s="112"/>
      <c r="E261" s="112"/>
      <c r="F261" s="112"/>
      <c r="G261" s="112"/>
      <c r="H261" s="115"/>
      <c r="I261" s="482" t="s">
        <v>2770</v>
      </c>
      <c r="J261" s="112"/>
      <c r="K261" s="112"/>
      <c r="L261" s="112"/>
      <c r="M261" s="115"/>
      <c r="N261" s="112"/>
      <c r="O261" s="112"/>
      <c r="P261" s="112"/>
      <c r="Q261" s="112">
        <v>7</v>
      </c>
      <c r="R261" s="112">
        <v>1000</v>
      </c>
      <c r="S261" s="112">
        <v>0</v>
      </c>
      <c r="T261" s="112">
        <f t="shared" si="3"/>
        <v>1000</v>
      </c>
      <c r="U261" s="112"/>
      <c r="V261" s="112"/>
      <c r="W261" s="112">
        <v>14</v>
      </c>
      <c r="X261" s="112">
        <f t="shared" si="1"/>
        <v>1540</v>
      </c>
      <c r="Y261" s="117">
        <f t="shared" si="2"/>
        <v>2285</v>
      </c>
      <c r="Z261" s="112"/>
      <c r="AA261" s="117"/>
      <c r="AB261" s="112"/>
      <c r="AC261" s="112"/>
      <c r="AD261" s="112"/>
      <c r="AE261" s="112"/>
      <c r="AF261" s="112"/>
      <c r="AG261" s="112"/>
      <c r="AH261" s="112"/>
      <c r="AI261" s="112"/>
      <c r="AJ261" s="112"/>
      <c r="AK261" s="112"/>
      <c r="AL261" s="112"/>
      <c r="AM261" s="112"/>
      <c r="AN261" s="112"/>
      <c r="AO261" s="112"/>
      <c r="AP261" s="112"/>
      <c r="AQ261" s="112"/>
      <c r="AR261" s="112"/>
      <c r="AS261" s="112"/>
      <c r="AT261" s="112"/>
      <c r="AU261" s="293"/>
    </row>
    <row r="262" spans="1:47" x14ac:dyDescent="0.2">
      <c r="A262" s="293"/>
      <c r="B262" s="293"/>
      <c r="C262" s="112"/>
      <c r="D262" s="112"/>
      <c r="E262" s="112"/>
      <c r="F262" s="112"/>
      <c r="G262" s="112"/>
      <c r="H262" s="115"/>
      <c r="I262" s="467" t="s">
        <v>2771</v>
      </c>
      <c r="J262" s="112"/>
      <c r="K262" s="112"/>
      <c r="L262" s="112"/>
      <c r="M262" s="115"/>
      <c r="N262" s="112"/>
      <c r="O262" s="112"/>
      <c r="P262" s="112"/>
      <c r="Q262" s="112">
        <v>8</v>
      </c>
      <c r="R262" s="112">
        <v>1000</v>
      </c>
      <c r="S262" s="112">
        <v>0</v>
      </c>
      <c r="T262" s="112">
        <f t="shared" si="3"/>
        <v>1000</v>
      </c>
      <c r="U262" s="112"/>
      <c r="V262" s="112"/>
      <c r="W262" s="112">
        <v>14.5</v>
      </c>
      <c r="X262" s="112">
        <f t="shared" si="1"/>
        <v>1595</v>
      </c>
      <c r="Y262" s="117">
        <f t="shared" si="2"/>
        <v>2340</v>
      </c>
      <c r="Z262" s="112"/>
      <c r="AA262" s="117"/>
      <c r="AB262" s="112"/>
      <c r="AC262" s="112"/>
      <c r="AD262" s="112"/>
      <c r="AE262" s="112"/>
      <c r="AF262" s="112"/>
      <c r="AG262" s="112"/>
      <c r="AH262" s="112"/>
      <c r="AI262" s="112"/>
      <c r="AJ262" s="112"/>
      <c r="AK262" s="112"/>
      <c r="AL262" s="112"/>
      <c r="AM262" s="112"/>
      <c r="AN262" s="112"/>
      <c r="AO262" s="112"/>
      <c r="AP262" s="112"/>
      <c r="AQ262" s="112"/>
      <c r="AR262" s="112"/>
      <c r="AS262" s="112"/>
      <c r="AT262" s="112"/>
      <c r="AU262" s="293"/>
    </row>
    <row r="263" spans="1:47" x14ac:dyDescent="0.2">
      <c r="A263" s="293"/>
      <c r="B263" s="293"/>
      <c r="C263" s="112"/>
      <c r="D263" s="112"/>
      <c r="E263" s="112"/>
      <c r="F263" s="112"/>
      <c r="G263" s="112"/>
      <c r="H263" s="115"/>
      <c r="I263" s="467" t="s">
        <v>2620</v>
      </c>
      <c r="J263" s="112"/>
      <c r="K263" s="112"/>
      <c r="L263" s="112"/>
      <c r="M263" s="115"/>
      <c r="N263" s="112"/>
      <c r="O263" s="112"/>
      <c r="P263" s="112"/>
      <c r="Q263" s="112"/>
      <c r="R263" s="112"/>
      <c r="S263" s="112"/>
      <c r="T263" s="112"/>
      <c r="U263" s="112"/>
      <c r="V263" s="112"/>
      <c r="W263" s="112">
        <v>15</v>
      </c>
      <c r="X263" s="112">
        <f t="shared" si="1"/>
        <v>1650</v>
      </c>
      <c r="Y263" s="117">
        <f t="shared" si="2"/>
        <v>2395</v>
      </c>
      <c r="Z263" s="112"/>
      <c r="AA263" s="117"/>
      <c r="AB263" s="112"/>
      <c r="AC263" s="112"/>
      <c r="AD263" s="112"/>
      <c r="AE263" s="112"/>
      <c r="AF263" s="112"/>
      <c r="AG263" s="112"/>
      <c r="AH263" s="112"/>
      <c r="AI263" s="112"/>
      <c r="AJ263" s="112"/>
      <c r="AK263" s="112"/>
      <c r="AL263" s="112"/>
      <c r="AM263" s="112"/>
      <c r="AN263" s="112"/>
      <c r="AO263" s="112"/>
      <c r="AP263" s="112"/>
      <c r="AQ263" s="112"/>
      <c r="AR263" s="112"/>
      <c r="AS263" s="112"/>
      <c r="AT263" s="112"/>
      <c r="AU263" s="293"/>
    </row>
    <row r="264" spans="1:47" x14ac:dyDescent="0.2">
      <c r="A264" s="293"/>
      <c r="B264" s="293"/>
      <c r="C264" s="112"/>
      <c r="D264" s="112"/>
      <c r="E264" s="112"/>
      <c r="F264" s="112"/>
      <c r="G264" s="112"/>
      <c r="H264" s="115"/>
      <c r="I264" s="467" t="s">
        <v>2772</v>
      </c>
      <c r="J264" s="112"/>
      <c r="K264" s="112"/>
      <c r="L264" s="112"/>
      <c r="M264" s="115"/>
      <c r="N264" s="112"/>
      <c r="O264" s="112"/>
      <c r="P264" s="112"/>
      <c r="Q264" s="112"/>
      <c r="R264" s="112"/>
      <c r="S264" s="112"/>
      <c r="T264" s="112"/>
      <c r="U264" s="112"/>
      <c r="V264" s="112"/>
      <c r="W264" s="112"/>
      <c r="X264" s="112"/>
      <c r="Y264" s="112"/>
      <c r="Z264" s="112"/>
      <c r="AA264" s="112"/>
      <c r="AB264" s="112"/>
      <c r="AC264" s="112"/>
      <c r="AD264" s="112"/>
      <c r="AE264" s="112"/>
      <c r="AF264" s="112"/>
      <c r="AG264" s="112"/>
      <c r="AH264" s="112"/>
      <c r="AI264" s="112"/>
      <c r="AJ264" s="112"/>
      <c r="AK264" s="112"/>
      <c r="AL264" s="112"/>
      <c r="AM264" s="112"/>
      <c r="AN264" s="112"/>
      <c r="AO264" s="112"/>
      <c r="AP264" s="112"/>
      <c r="AQ264" s="112"/>
      <c r="AR264" s="112"/>
      <c r="AS264" s="112"/>
      <c r="AT264" s="112"/>
      <c r="AU264" s="293"/>
    </row>
    <row r="265" spans="1:47" x14ac:dyDescent="0.2">
      <c r="A265" s="293"/>
      <c r="B265" s="293"/>
      <c r="C265" s="112"/>
      <c r="D265" s="112"/>
      <c r="E265" s="112"/>
      <c r="F265" s="112"/>
      <c r="G265" s="112"/>
      <c r="H265" s="115"/>
      <c r="I265" s="467" t="s">
        <v>2773</v>
      </c>
      <c r="J265" s="112"/>
      <c r="K265" s="112"/>
      <c r="L265" s="112"/>
      <c r="M265" s="115"/>
      <c r="N265" s="112"/>
      <c r="O265" s="112"/>
      <c r="P265" s="112"/>
      <c r="Q265" s="112"/>
      <c r="R265" s="112"/>
      <c r="S265" s="112"/>
      <c r="T265" s="112"/>
      <c r="U265" s="112"/>
      <c r="V265" s="112"/>
      <c r="W265" s="112"/>
      <c r="X265" s="112"/>
      <c r="Y265" s="112"/>
      <c r="Z265" s="112"/>
      <c r="AA265" s="112"/>
      <c r="AB265" s="112"/>
      <c r="AC265" s="112"/>
      <c r="AD265" s="112"/>
      <c r="AE265" s="112"/>
      <c r="AF265" s="112"/>
      <c r="AG265" s="112"/>
      <c r="AH265" s="112"/>
      <c r="AI265" s="112"/>
      <c r="AJ265" s="112"/>
      <c r="AK265" s="112"/>
      <c r="AL265" s="112"/>
      <c r="AM265" s="112"/>
      <c r="AN265" s="112"/>
      <c r="AO265" s="112"/>
      <c r="AP265" s="112"/>
      <c r="AQ265" s="112"/>
      <c r="AR265" s="112"/>
      <c r="AS265" s="112"/>
      <c r="AT265" s="112"/>
      <c r="AU265" s="293"/>
    </row>
    <row r="266" spans="1:47" x14ac:dyDescent="0.2">
      <c r="A266" s="293"/>
      <c r="B266" s="293"/>
      <c r="C266" s="112"/>
      <c r="D266" s="112"/>
      <c r="E266" s="112"/>
      <c r="F266" s="112"/>
      <c r="G266" s="112"/>
      <c r="H266" s="115"/>
      <c r="I266" s="467"/>
      <c r="J266" s="112"/>
      <c r="K266" s="112"/>
      <c r="L266" s="112"/>
      <c r="M266" s="115"/>
      <c r="N266" s="112"/>
      <c r="O266" s="112"/>
      <c r="P266" s="112"/>
      <c r="Q266" s="112"/>
      <c r="R266" s="112">
        <f>IF((IF(H37&lt;=5,F56*0.5*H37+H37*H56,F56*0.5*5+((H37-5)*F56)+5*H56))&gt;0.4*H90,IF(0.4*H90&gt;100000,100000,0.4*H90),IF(H37&lt;=5,F56*0.5*H37+H37*H56,F56*0.5*5+((H37-5)*F56)+5*H56))</f>
        <v>875</v>
      </c>
      <c r="S266" s="112"/>
      <c r="T266" s="112"/>
      <c r="U266" s="112"/>
      <c r="V266" s="112"/>
      <c r="W266" s="112"/>
      <c r="X266" s="112"/>
      <c r="Y266" s="112"/>
      <c r="Z266" s="112"/>
      <c r="AA266" s="112"/>
      <c r="AB266" s="112"/>
      <c r="AC266" s="112"/>
      <c r="AD266" s="112"/>
      <c r="AE266" s="112"/>
      <c r="AF266" s="112"/>
      <c r="AG266" s="112"/>
      <c r="AH266" s="112"/>
      <c r="AI266" s="112"/>
      <c r="AJ266" s="112"/>
      <c r="AK266" s="112"/>
      <c r="AL266" s="112"/>
      <c r="AM266" s="112"/>
      <c r="AN266" s="112"/>
      <c r="AO266" s="112"/>
      <c r="AP266" s="112"/>
      <c r="AQ266" s="112"/>
      <c r="AR266" s="112"/>
      <c r="AS266" s="112"/>
      <c r="AT266" s="112"/>
      <c r="AU266" s="293"/>
    </row>
    <row r="267" spans="1:47" x14ac:dyDescent="0.2">
      <c r="A267" s="293"/>
      <c r="B267" s="293"/>
      <c r="C267" s="112"/>
      <c r="D267" s="112"/>
      <c r="E267" s="112"/>
      <c r="F267" s="112"/>
      <c r="G267" s="112"/>
      <c r="H267" s="115"/>
      <c r="I267" s="467"/>
      <c r="J267" s="112"/>
      <c r="K267" s="112"/>
      <c r="L267" s="112"/>
      <c r="M267" s="115"/>
      <c r="N267" s="112"/>
      <c r="O267" s="112"/>
      <c r="P267" s="112"/>
      <c r="Q267" s="112"/>
      <c r="R267" s="112">
        <f>IF(AND($H$63&lt;&gt;"Fördertarif",D219=$H$188),IF((IF(H37&lt;=5,F56*0.5*H37+H37*H56,F56*0.5*5+(H37-5)*F56+5*H56))&gt;0.4*H90,IF(0.4*H90&gt;100000,100000,0.4*H90),IF(H37&lt;=5,F56*0.5*H37+H37*H56,F56*0.5*5+((H37-5)*F56+5*H56))))</f>
        <v>875</v>
      </c>
      <c r="S267" s="112"/>
      <c r="T267" s="112"/>
      <c r="U267" s="112"/>
      <c r="V267" s="112"/>
      <c r="W267" s="112"/>
      <c r="X267" s="112"/>
      <c r="Y267" s="112"/>
      <c r="Z267" s="112"/>
      <c r="AA267" s="112"/>
      <c r="AB267" s="112"/>
      <c r="AC267" s="112"/>
      <c r="AD267" s="112"/>
      <c r="AE267" s="112"/>
      <c r="AF267" s="112"/>
      <c r="AG267" s="112"/>
      <c r="AH267" s="112"/>
      <c r="AI267" s="112"/>
      <c r="AJ267" s="112"/>
      <c r="AK267" s="112"/>
      <c r="AL267" s="112"/>
      <c r="AM267" s="112"/>
      <c r="AN267" s="112"/>
      <c r="AO267" s="112"/>
      <c r="AP267" s="112"/>
      <c r="AQ267" s="112"/>
      <c r="AR267" s="112"/>
      <c r="AS267" s="112"/>
      <c r="AT267" s="112"/>
      <c r="AU267" s="293"/>
    </row>
    <row r="268" spans="1:47" x14ac:dyDescent="0.2">
      <c r="A268" s="293"/>
      <c r="B268" s="293"/>
      <c r="C268" s="112"/>
      <c r="D268" s="112"/>
      <c r="E268" s="112"/>
      <c r="F268" s="112"/>
      <c r="G268" s="112"/>
      <c r="H268" s="115"/>
      <c r="I268" s="482" t="s">
        <v>2621</v>
      </c>
      <c r="J268" s="112"/>
      <c r="K268" s="112"/>
      <c r="L268" s="112"/>
      <c r="M268" s="115"/>
      <c r="N268" s="112"/>
      <c r="O268" s="112"/>
      <c r="P268" s="112"/>
      <c r="Q268" s="112"/>
      <c r="R268" s="112"/>
      <c r="S268" s="112"/>
      <c r="T268" s="112"/>
      <c r="U268" s="112"/>
      <c r="V268" s="115">
        <f>H37</f>
        <v>6</v>
      </c>
      <c r="W268" s="112"/>
      <c r="X268" s="112"/>
      <c r="Y268" s="112"/>
      <c r="Z268" s="112"/>
      <c r="AA268" s="112"/>
      <c r="AB268" s="112"/>
      <c r="AC268" s="112"/>
      <c r="AD268" s="112"/>
      <c r="AE268" s="112"/>
      <c r="AF268" s="112"/>
      <c r="AG268" s="112"/>
      <c r="AH268" s="112"/>
      <c r="AI268" s="112"/>
      <c r="AJ268" s="112"/>
      <c r="AK268" s="112"/>
      <c r="AL268" s="112"/>
      <c r="AM268" s="112"/>
      <c r="AN268" s="112"/>
      <c r="AO268" s="112"/>
      <c r="AP268" s="112"/>
      <c r="AQ268" s="112"/>
      <c r="AR268" s="112"/>
      <c r="AS268" s="112"/>
      <c r="AT268" s="112"/>
      <c r="AU268" s="293"/>
    </row>
    <row r="269" spans="1:47" x14ac:dyDescent="0.2">
      <c r="A269" s="293"/>
      <c r="B269" s="293"/>
      <c r="C269" s="112"/>
      <c r="D269" s="112"/>
      <c r="E269" s="112"/>
      <c r="F269" s="112"/>
      <c r="G269" s="112"/>
      <c r="H269" s="115"/>
      <c r="I269" s="467" t="s">
        <v>2622</v>
      </c>
      <c r="J269" s="112"/>
      <c r="K269" s="112"/>
      <c r="L269" s="112"/>
      <c r="M269" s="115"/>
      <c r="N269" s="112"/>
      <c r="O269" s="112"/>
      <c r="P269" s="112"/>
      <c r="Q269" s="112"/>
      <c r="R269" s="112"/>
      <c r="S269" s="112"/>
      <c r="T269" s="112"/>
      <c r="U269" s="112"/>
      <c r="V269" s="116">
        <f>ROUNDDOWN(V268,0)</f>
        <v>6</v>
      </c>
      <c r="W269" s="112">
        <v>1</v>
      </c>
      <c r="X269" s="112">
        <v>500</v>
      </c>
      <c r="Y269" s="112"/>
      <c r="Z269" s="112"/>
      <c r="AA269" s="112"/>
      <c r="AB269" s="112"/>
      <c r="AC269" s="112"/>
      <c r="AD269" s="112"/>
      <c r="AE269" s="112"/>
      <c r="AF269" s="112"/>
      <c r="AG269" s="112"/>
      <c r="AH269" s="112"/>
      <c r="AI269" s="112"/>
      <c r="AJ269" s="112"/>
      <c r="AK269" s="112"/>
      <c r="AL269" s="112"/>
      <c r="AM269" s="112"/>
      <c r="AN269" s="112"/>
      <c r="AO269" s="112"/>
      <c r="AP269" s="112"/>
      <c r="AQ269" s="112"/>
      <c r="AR269" s="112"/>
      <c r="AS269" s="112"/>
      <c r="AT269" s="112"/>
      <c r="AU269" s="293"/>
    </row>
    <row r="270" spans="1:47" x14ac:dyDescent="0.2">
      <c r="A270" s="293"/>
      <c r="B270" s="293"/>
      <c r="C270" s="112"/>
      <c r="D270" s="112"/>
      <c r="E270" s="112"/>
      <c r="F270" s="112"/>
      <c r="G270" s="112"/>
      <c r="H270" s="115"/>
      <c r="I270" s="467" t="s">
        <v>2623</v>
      </c>
      <c r="J270" s="112"/>
      <c r="K270" s="112"/>
      <c r="L270" s="112"/>
      <c r="M270" s="115"/>
      <c r="N270" s="112"/>
      <c r="O270" s="112"/>
      <c r="P270" s="112"/>
      <c r="Q270" s="112"/>
      <c r="R270" s="112"/>
      <c r="S270" s="112"/>
      <c r="T270" s="112"/>
      <c r="U270" s="112"/>
      <c r="V270" s="112">
        <f>VLOOKUP(V269,W269:X273,2,TRUE)</f>
        <v>900</v>
      </c>
      <c r="W270" s="112">
        <v>2</v>
      </c>
      <c r="X270" s="112">
        <v>600</v>
      </c>
      <c r="Y270" s="112"/>
      <c r="Z270" s="112"/>
      <c r="AA270" s="112"/>
      <c r="AB270" s="112"/>
      <c r="AC270" s="112"/>
      <c r="AD270" s="112"/>
      <c r="AE270" s="112"/>
      <c r="AF270" s="112"/>
      <c r="AG270" s="112"/>
      <c r="AH270" s="112"/>
      <c r="AI270" s="112"/>
      <c r="AJ270" s="112"/>
      <c r="AK270" s="112"/>
      <c r="AL270" s="112"/>
      <c r="AM270" s="112"/>
      <c r="AN270" s="112"/>
      <c r="AO270" s="112"/>
      <c r="AP270" s="112"/>
      <c r="AQ270" s="112"/>
      <c r="AR270" s="112"/>
      <c r="AS270" s="112"/>
      <c r="AT270" s="112"/>
      <c r="AU270" s="293"/>
    </row>
    <row r="271" spans="1:47" x14ac:dyDescent="0.2">
      <c r="A271" s="293"/>
      <c r="B271" s="293"/>
      <c r="C271" s="112"/>
      <c r="D271" s="112"/>
      <c r="E271" s="112"/>
      <c r="F271" s="112"/>
      <c r="G271" s="112"/>
      <c r="H271" s="115"/>
      <c r="I271" s="467" t="s">
        <v>2624</v>
      </c>
      <c r="J271" s="112"/>
      <c r="K271" s="112"/>
      <c r="L271" s="112"/>
      <c r="M271" s="115"/>
      <c r="N271" s="112"/>
      <c r="O271" s="112"/>
      <c r="P271" s="112"/>
      <c r="Q271" s="112"/>
      <c r="R271" s="112"/>
      <c r="S271" s="112"/>
      <c r="T271" s="112"/>
      <c r="U271" s="112"/>
      <c r="V271" s="112"/>
      <c r="W271" s="112">
        <v>3</v>
      </c>
      <c r="X271" s="112">
        <v>700</v>
      </c>
      <c r="Y271" s="112"/>
      <c r="Z271" s="112"/>
      <c r="AA271" s="112"/>
      <c r="AB271" s="112"/>
      <c r="AC271" s="112"/>
      <c r="AD271" s="112"/>
      <c r="AE271" s="112"/>
      <c r="AF271" s="112"/>
      <c r="AG271" s="112"/>
      <c r="AH271" s="112"/>
      <c r="AI271" s="112"/>
      <c r="AJ271" s="112"/>
      <c r="AK271" s="112"/>
      <c r="AL271" s="112"/>
      <c r="AM271" s="112"/>
      <c r="AN271" s="112"/>
      <c r="AO271" s="112"/>
      <c r="AP271" s="112"/>
      <c r="AQ271" s="112"/>
      <c r="AR271" s="112"/>
      <c r="AS271" s="112"/>
      <c r="AT271" s="112"/>
      <c r="AU271" s="293"/>
    </row>
    <row r="272" spans="1:47" x14ac:dyDescent="0.2">
      <c r="A272" s="293"/>
      <c r="B272" s="293"/>
      <c r="C272" s="112"/>
      <c r="D272" s="112"/>
      <c r="E272" s="112"/>
      <c r="F272" s="112"/>
      <c r="G272" s="112"/>
      <c r="H272" s="115"/>
      <c r="I272" s="467" t="s">
        <v>2625</v>
      </c>
      <c r="J272" s="112"/>
      <c r="K272" s="112"/>
      <c r="L272" s="112"/>
      <c r="M272" s="115"/>
      <c r="N272" s="112"/>
      <c r="O272" s="112"/>
      <c r="P272" s="112"/>
      <c r="Q272" s="112"/>
      <c r="R272" s="112"/>
      <c r="S272" s="112"/>
      <c r="T272" s="112"/>
      <c r="U272" s="112"/>
      <c r="V272" s="112"/>
      <c r="W272" s="112">
        <v>4</v>
      </c>
      <c r="X272" s="112">
        <v>800</v>
      </c>
      <c r="Y272" s="112"/>
      <c r="Z272" s="112"/>
      <c r="AA272" s="112"/>
      <c r="AB272" s="112"/>
      <c r="AC272" s="112"/>
      <c r="AD272" s="112"/>
      <c r="AE272" s="112"/>
      <c r="AF272" s="112"/>
      <c r="AG272" s="112"/>
      <c r="AH272" s="112"/>
      <c r="AI272" s="112"/>
      <c r="AJ272" s="112"/>
      <c r="AK272" s="112"/>
      <c r="AL272" s="112"/>
      <c r="AM272" s="112"/>
      <c r="AN272" s="112"/>
      <c r="AO272" s="112"/>
      <c r="AP272" s="112"/>
      <c r="AQ272" s="112"/>
      <c r="AR272" s="112"/>
      <c r="AS272" s="112"/>
      <c r="AT272" s="112"/>
      <c r="AU272" s="293"/>
    </row>
    <row r="273" spans="1:47" x14ac:dyDescent="0.2">
      <c r="A273" s="293"/>
      <c r="B273" s="293"/>
      <c r="C273" s="112"/>
      <c r="D273" s="112"/>
      <c r="E273" s="112"/>
      <c r="F273" s="112"/>
      <c r="G273" s="112"/>
      <c r="H273" s="115"/>
      <c r="I273" s="112"/>
      <c r="J273" s="112"/>
      <c r="K273" s="112"/>
      <c r="L273" s="112"/>
      <c r="M273" s="115"/>
      <c r="N273" s="112"/>
      <c r="O273" s="112"/>
      <c r="P273" s="112"/>
      <c r="Q273" s="112"/>
      <c r="R273" s="112"/>
      <c r="S273" s="112"/>
      <c r="T273" s="112"/>
      <c r="U273" s="112"/>
      <c r="V273" s="112"/>
      <c r="W273" s="112">
        <v>5</v>
      </c>
      <c r="X273" s="112">
        <v>900</v>
      </c>
      <c r="Y273" s="112"/>
      <c r="Z273" s="112"/>
      <c r="AA273" s="112"/>
      <c r="AB273" s="112"/>
      <c r="AC273" s="112"/>
      <c r="AD273" s="112"/>
      <c r="AE273" s="112"/>
      <c r="AF273" s="112"/>
      <c r="AG273" s="112"/>
      <c r="AH273" s="112"/>
      <c r="AI273" s="112"/>
      <c r="AJ273" s="112"/>
      <c r="AK273" s="112"/>
      <c r="AL273" s="112"/>
      <c r="AM273" s="112"/>
      <c r="AN273" s="112"/>
      <c r="AO273" s="112"/>
      <c r="AP273" s="112"/>
      <c r="AQ273" s="112"/>
      <c r="AR273" s="112"/>
      <c r="AS273" s="112"/>
      <c r="AT273" s="112"/>
      <c r="AU273" s="293"/>
    </row>
    <row r="274" spans="1:47" x14ac:dyDescent="0.2">
      <c r="A274" s="293"/>
      <c r="B274" s="293"/>
      <c r="C274" s="112"/>
      <c r="D274" s="112"/>
      <c r="E274" s="112"/>
      <c r="F274" s="112"/>
      <c r="G274" s="112"/>
      <c r="H274" s="115"/>
      <c r="I274" s="112"/>
      <c r="J274" s="112"/>
      <c r="K274" s="112"/>
      <c r="L274" s="112"/>
      <c r="M274" s="115"/>
      <c r="N274" s="112"/>
      <c r="O274" s="112"/>
      <c r="P274" s="112"/>
      <c r="Q274" s="112"/>
      <c r="R274" s="112"/>
      <c r="S274" s="112"/>
      <c r="T274" s="112"/>
      <c r="U274" s="112"/>
      <c r="V274" s="112"/>
      <c r="W274" s="112"/>
      <c r="X274" s="112"/>
      <c r="Y274" s="112"/>
      <c r="Z274" s="112"/>
      <c r="AA274" s="112"/>
      <c r="AB274" s="112"/>
      <c r="AC274" s="112"/>
      <c r="AD274" s="112"/>
      <c r="AE274" s="112"/>
      <c r="AF274" s="112"/>
      <c r="AG274" s="112"/>
      <c r="AH274" s="112"/>
      <c r="AI274" s="112"/>
      <c r="AJ274" s="112"/>
      <c r="AK274" s="112"/>
      <c r="AL274" s="112"/>
      <c r="AM274" s="112"/>
      <c r="AN274" s="112"/>
      <c r="AO274" s="112"/>
      <c r="AP274" s="112"/>
      <c r="AQ274" s="112"/>
      <c r="AR274" s="112"/>
      <c r="AS274" s="112"/>
      <c r="AT274" s="112"/>
      <c r="AU274" s="293"/>
    </row>
    <row r="275" spans="1:47" x14ac:dyDescent="0.2">
      <c r="A275" s="293"/>
      <c r="B275" s="293"/>
      <c r="C275" s="112"/>
      <c r="D275" s="112"/>
      <c r="E275" s="112"/>
      <c r="F275" s="112"/>
      <c r="G275" s="112"/>
      <c r="H275" s="115"/>
      <c r="I275" s="112"/>
      <c r="J275" s="112"/>
      <c r="K275" s="112"/>
      <c r="L275" s="112"/>
      <c r="M275" s="115"/>
      <c r="N275" s="112"/>
      <c r="O275" s="112"/>
      <c r="P275" s="112"/>
      <c r="Q275" s="112"/>
      <c r="R275" s="112"/>
      <c r="S275" s="112"/>
      <c r="T275" s="112"/>
      <c r="U275" s="112"/>
      <c r="V275" s="112"/>
      <c r="W275" s="112"/>
      <c r="X275" s="112"/>
      <c r="Y275" s="112"/>
      <c r="Z275" s="112"/>
      <c r="AA275" s="112"/>
      <c r="AB275" s="112"/>
      <c r="AC275" s="112"/>
      <c r="AD275" s="112"/>
      <c r="AE275" s="112"/>
      <c r="AF275" s="112"/>
      <c r="AG275" s="112"/>
      <c r="AH275" s="112"/>
      <c r="AI275" s="112"/>
      <c r="AJ275" s="112"/>
      <c r="AK275" s="112"/>
      <c r="AL275" s="112"/>
      <c r="AM275" s="112"/>
      <c r="AN275" s="112"/>
      <c r="AO275" s="112"/>
      <c r="AP275" s="112"/>
      <c r="AQ275" s="112"/>
      <c r="AR275" s="112"/>
      <c r="AS275" s="112"/>
      <c r="AT275" s="112"/>
      <c r="AU275" s="293"/>
    </row>
    <row r="276" spans="1:47" x14ac:dyDescent="0.2">
      <c r="A276" s="293"/>
      <c r="B276" s="293"/>
      <c r="C276" s="112"/>
      <c r="D276" s="112"/>
      <c r="E276" s="112"/>
      <c r="F276" s="112"/>
      <c r="G276" s="112"/>
      <c r="H276" s="115"/>
      <c r="I276" s="112"/>
      <c r="J276" s="112"/>
      <c r="K276" s="112"/>
      <c r="L276" s="112"/>
      <c r="M276" s="115"/>
      <c r="N276" s="112"/>
      <c r="O276" s="112"/>
      <c r="P276" s="112"/>
      <c r="Q276" s="112"/>
      <c r="R276" s="112"/>
      <c r="S276" s="112"/>
      <c r="T276" s="112"/>
      <c r="U276" s="112"/>
      <c r="V276" s="112"/>
      <c r="W276" s="112"/>
      <c r="X276" s="112"/>
      <c r="Y276" s="112"/>
      <c r="Z276" s="112"/>
      <c r="AA276" s="112"/>
      <c r="AB276" s="112"/>
      <c r="AC276" s="112"/>
      <c r="AD276" s="112"/>
      <c r="AE276" s="112"/>
      <c r="AF276" s="112"/>
      <c r="AG276" s="112"/>
      <c r="AH276" s="112"/>
      <c r="AI276" s="112"/>
      <c r="AJ276" s="112"/>
      <c r="AK276" s="112"/>
      <c r="AL276" s="112"/>
      <c r="AM276" s="112"/>
      <c r="AN276" s="112"/>
      <c r="AO276" s="112"/>
      <c r="AP276" s="112"/>
      <c r="AQ276" s="112"/>
      <c r="AR276" s="112"/>
      <c r="AS276" s="112"/>
      <c r="AT276" s="112"/>
      <c r="AU276" s="293"/>
    </row>
    <row r="277" spans="1:47" x14ac:dyDescent="0.2">
      <c r="A277" s="293"/>
      <c r="B277" s="293"/>
      <c r="C277" s="112"/>
      <c r="D277" s="112"/>
      <c r="E277" s="112"/>
      <c r="F277" s="112"/>
      <c r="G277" s="112"/>
      <c r="H277" s="115"/>
      <c r="I277" s="112"/>
      <c r="J277" s="112"/>
      <c r="K277" s="112"/>
      <c r="L277" s="112"/>
      <c r="M277" s="115"/>
      <c r="N277" s="112"/>
      <c r="O277" s="112"/>
      <c r="P277" s="112"/>
      <c r="Q277" s="112"/>
      <c r="R277" s="112"/>
      <c r="S277" s="112"/>
      <c r="T277" s="112"/>
      <c r="U277" s="112"/>
      <c r="V277" s="112"/>
      <c r="W277" s="112"/>
      <c r="X277" s="112"/>
      <c r="Y277" s="112"/>
      <c r="Z277" s="112"/>
      <c r="AA277" s="112"/>
      <c r="AB277" s="112"/>
      <c r="AC277" s="112"/>
      <c r="AD277" s="112"/>
      <c r="AE277" s="112"/>
      <c r="AF277" s="112"/>
      <c r="AG277" s="112"/>
      <c r="AH277" s="112"/>
      <c r="AI277" s="112"/>
      <c r="AJ277" s="112"/>
      <c r="AK277" s="112"/>
      <c r="AL277" s="112"/>
      <c r="AM277" s="112"/>
      <c r="AN277" s="112"/>
      <c r="AO277" s="112"/>
      <c r="AP277" s="112"/>
      <c r="AQ277" s="112"/>
      <c r="AR277" s="112"/>
      <c r="AS277" s="112"/>
      <c r="AT277" s="112"/>
      <c r="AU277" s="293"/>
    </row>
    <row r="278" spans="1:47" x14ac:dyDescent="0.2">
      <c r="A278" s="293"/>
      <c r="B278" s="293"/>
      <c r="C278" s="112"/>
      <c r="D278" s="112"/>
      <c r="E278" s="112"/>
      <c r="F278" s="112"/>
      <c r="G278" s="112"/>
      <c r="H278" s="115"/>
      <c r="I278" s="112"/>
      <c r="J278" s="112"/>
      <c r="K278" s="112"/>
      <c r="L278" s="112"/>
      <c r="M278" s="115"/>
      <c r="N278" s="112"/>
      <c r="O278" s="112"/>
      <c r="P278" s="112"/>
      <c r="Q278" s="112"/>
      <c r="R278" s="112"/>
      <c r="S278" s="112"/>
      <c r="T278" s="112"/>
      <c r="U278" s="112"/>
      <c r="V278" s="112"/>
      <c r="W278" s="112"/>
      <c r="X278" s="112"/>
      <c r="Y278" s="112"/>
      <c r="Z278" s="112"/>
      <c r="AA278" s="112"/>
      <c r="AB278" s="112"/>
      <c r="AC278" s="112"/>
      <c r="AD278" s="112"/>
      <c r="AE278" s="112"/>
      <c r="AF278" s="112"/>
      <c r="AG278" s="112"/>
      <c r="AH278" s="112"/>
      <c r="AI278" s="112"/>
      <c r="AJ278" s="112"/>
      <c r="AK278" s="112"/>
      <c r="AL278" s="112"/>
      <c r="AM278" s="112"/>
      <c r="AN278" s="112"/>
      <c r="AO278" s="112"/>
      <c r="AP278" s="112"/>
      <c r="AQ278" s="112"/>
      <c r="AR278" s="112"/>
      <c r="AS278" s="112"/>
      <c r="AT278" s="112"/>
      <c r="AU278" s="293"/>
    </row>
    <row r="279" spans="1:47" x14ac:dyDescent="0.2">
      <c r="A279" s="293"/>
      <c r="B279" s="293"/>
      <c r="C279" s="112"/>
      <c r="D279" s="112"/>
      <c r="E279" s="112"/>
      <c r="F279" s="112"/>
      <c r="G279" s="112"/>
      <c r="H279" s="115"/>
      <c r="I279" s="112"/>
      <c r="J279" s="112"/>
      <c r="K279" s="112"/>
      <c r="L279" s="112"/>
      <c r="M279" s="115"/>
      <c r="N279" s="112"/>
      <c r="O279" s="112"/>
      <c r="P279" s="112"/>
      <c r="Q279" s="112"/>
      <c r="R279" s="112"/>
      <c r="S279" s="112"/>
      <c r="T279" s="112"/>
      <c r="U279" s="112"/>
      <c r="V279" s="112"/>
      <c r="W279" s="112"/>
      <c r="X279" s="112"/>
      <c r="Y279" s="112"/>
      <c r="Z279" s="112"/>
      <c r="AA279" s="112"/>
      <c r="AB279" s="112"/>
      <c r="AC279" s="112"/>
      <c r="AD279" s="112"/>
      <c r="AE279" s="112"/>
      <c r="AF279" s="112"/>
      <c r="AG279" s="112"/>
      <c r="AH279" s="112"/>
      <c r="AI279" s="112"/>
      <c r="AJ279" s="112"/>
      <c r="AK279" s="112"/>
      <c r="AL279" s="112"/>
      <c r="AM279" s="112"/>
      <c r="AN279" s="112"/>
      <c r="AO279" s="112"/>
      <c r="AP279" s="112"/>
      <c r="AQ279" s="112"/>
      <c r="AR279" s="112"/>
      <c r="AS279" s="112"/>
      <c r="AT279" s="112"/>
      <c r="AU279" s="293"/>
    </row>
    <row r="280" spans="1:47" x14ac:dyDescent="0.2">
      <c r="A280" s="293"/>
      <c r="B280" s="293"/>
      <c r="C280" s="112"/>
      <c r="D280" s="112"/>
      <c r="E280" s="112"/>
      <c r="F280" s="112"/>
      <c r="G280" s="112"/>
      <c r="H280" s="115"/>
      <c r="I280" s="112"/>
      <c r="J280" s="112"/>
      <c r="K280" s="112"/>
      <c r="L280" s="112"/>
      <c r="M280" s="115"/>
      <c r="N280" s="112"/>
      <c r="O280" s="112"/>
      <c r="P280" s="112"/>
      <c r="Q280" s="112"/>
      <c r="R280" s="112"/>
      <c r="S280" s="112"/>
      <c r="T280" s="112"/>
      <c r="U280" s="112"/>
      <c r="V280" s="112"/>
      <c r="W280" s="112"/>
      <c r="X280" s="112"/>
      <c r="Y280" s="112"/>
      <c r="Z280" s="112"/>
      <c r="AA280" s="112"/>
      <c r="AB280" s="112"/>
      <c r="AC280" s="112"/>
      <c r="AD280" s="112"/>
      <c r="AE280" s="112"/>
      <c r="AF280" s="112"/>
      <c r="AG280" s="112"/>
      <c r="AH280" s="112"/>
      <c r="AI280" s="112"/>
      <c r="AJ280" s="112"/>
      <c r="AK280" s="112"/>
      <c r="AL280" s="112"/>
      <c r="AM280" s="112"/>
      <c r="AN280" s="112"/>
      <c r="AO280" s="112"/>
      <c r="AP280" s="112"/>
      <c r="AQ280" s="112"/>
      <c r="AR280" s="112"/>
      <c r="AS280" s="112"/>
      <c r="AT280" s="112"/>
      <c r="AU280" s="293"/>
    </row>
    <row r="281" spans="1:47" x14ac:dyDescent="0.2">
      <c r="A281" s="293"/>
      <c r="B281" s="293"/>
      <c r="C281" s="112"/>
      <c r="D281" s="112"/>
      <c r="E281" s="112"/>
      <c r="F281" s="112"/>
      <c r="G281" s="112"/>
      <c r="H281" s="115"/>
      <c r="I281" s="112"/>
      <c r="J281" s="112"/>
      <c r="K281" s="112"/>
      <c r="L281" s="112"/>
      <c r="M281" s="115"/>
      <c r="N281" s="112"/>
      <c r="O281" s="112"/>
      <c r="P281" s="112"/>
      <c r="Q281" s="112"/>
      <c r="R281" s="112"/>
      <c r="S281" s="112"/>
      <c r="T281" s="112"/>
      <c r="U281" s="112"/>
      <c r="V281" s="112"/>
      <c r="W281" s="112"/>
      <c r="X281" s="112"/>
      <c r="Y281" s="112"/>
      <c r="Z281" s="112"/>
      <c r="AA281" s="112"/>
      <c r="AB281" s="112"/>
      <c r="AC281" s="112"/>
      <c r="AD281" s="112"/>
      <c r="AE281" s="112"/>
      <c r="AF281" s="112"/>
      <c r="AG281" s="112"/>
      <c r="AH281" s="112"/>
      <c r="AI281" s="112"/>
      <c r="AJ281" s="112"/>
      <c r="AK281" s="112"/>
      <c r="AL281" s="112"/>
      <c r="AM281" s="112"/>
      <c r="AN281" s="112"/>
      <c r="AO281" s="112"/>
      <c r="AP281" s="112"/>
      <c r="AQ281" s="112"/>
      <c r="AR281" s="112"/>
      <c r="AS281" s="112"/>
      <c r="AT281" s="112"/>
      <c r="AU281" s="293"/>
    </row>
    <row r="282" spans="1:47" x14ac:dyDescent="0.2">
      <c r="A282" s="293"/>
      <c r="B282" s="293"/>
      <c r="C282" s="112"/>
      <c r="D282" s="112"/>
      <c r="E282" s="112"/>
      <c r="F282" s="112"/>
      <c r="G282" s="112"/>
      <c r="H282" s="115"/>
      <c r="I282" s="112"/>
      <c r="J282" s="112"/>
      <c r="K282" s="112"/>
      <c r="L282" s="112"/>
      <c r="M282" s="115"/>
      <c r="N282" s="112"/>
      <c r="O282" s="112"/>
      <c r="P282" s="112"/>
      <c r="Q282" s="112"/>
      <c r="R282" s="112"/>
      <c r="S282" s="112"/>
      <c r="T282" s="112"/>
      <c r="U282" s="112"/>
      <c r="V282" s="112"/>
      <c r="W282" s="112"/>
      <c r="X282" s="112"/>
      <c r="Y282" s="112"/>
      <c r="Z282" s="112"/>
      <c r="AA282" s="112"/>
      <c r="AB282" s="112"/>
      <c r="AC282" s="112"/>
      <c r="AD282" s="112"/>
      <c r="AE282" s="112"/>
      <c r="AF282" s="112"/>
      <c r="AG282" s="112"/>
      <c r="AH282" s="112"/>
      <c r="AI282" s="112"/>
      <c r="AJ282" s="112"/>
      <c r="AK282" s="112"/>
      <c r="AL282" s="112"/>
      <c r="AM282" s="112"/>
      <c r="AN282" s="112"/>
      <c r="AO282" s="112"/>
      <c r="AP282" s="112"/>
      <c r="AQ282" s="112"/>
      <c r="AR282" s="112"/>
      <c r="AS282" s="112"/>
      <c r="AT282" s="112"/>
      <c r="AU282" s="293"/>
    </row>
    <row r="283" spans="1:47" x14ac:dyDescent="0.2">
      <c r="A283" s="293"/>
      <c r="B283" s="293"/>
      <c r="C283" s="113"/>
      <c r="D283" s="113"/>
      <c r="E283" s="113"/>
      <c r="F283" s="113"/>
      <c r="G283" s="113"/>
      <c r="H283" s="483"/>
      <c r="I283" s="113"/>
      <c r="J283" s="113"/>
      <c r="K283" s="113"/>
      <c r="L283" s="113"/>
      <c r="M283" s="483"/>
      <c r="N283" s="113"/>
      <c r="O283" s="113"/>
      <c r="P283" s="113"/>
      <c r="Q283" s="113"/>
      <c r="R283" s="113"/>
      <c r="S283" s="113"/>
      <c r="T283" s="113"/>
      <c r="U283" s="113"/>
      <c r="V283" s="113"/>
      <c r="W283" s="113"/>
      <c r="X283" s="113"/>
      <c r="Y283" s="113"/>
      <c r="Z283" s="113"/>
      <c r="AA283" s="113"/>
      <c r="AB283" s="113"/>
      <c r="AC283" s="113"/>
      <c r="AD283" s="293"/>
      <c r="AE283" s="293"/>
      <c r="AF283" s="293"/>
      <c r="AG283" s="293"/>
      <c r="AH283" s="293"/>
      <c r="AI283" s="293"/>
      <c r="AJ283" s="293"/>
      <c r="AK283" s="293"/>
      <c r="AL283" s="293"/>
      <c r="AM283" s="293"/>
      <c r="AN283" s="293"/>
      <c r="AO283" s="293"/>
      <c r="AP283" s="293"/>
      <c r="AQ283" s="293"/>
      <c r="AR283" s="293"/>
      <c r="AS283" s="293"/>
      <c r="AT283" s="293"/>
      <c r="AU283" s="293"/>
    </row>
    <row r="284" spans="1:47" x14ac:dyDescent="0.2">
      <c r="A284" s="293"/>
      <c r="B284" s="293"/>
      <c r="C284" s="113"/>
      <c r="D284" s="113"/>
      <c r="E284" s="113"/>
      <c r="F284" s="113"/>
      <c r="G284" s="113"/>
      <c r="H284" s="483"/>
      <c r="I284" s="113"/>
      <c r="J284" s="113"/>
      <c r="K284" s="113"/>
      <c r="L284" s="113"/>
      <c r="M284" s="483"/>
      <c r="N284" s="113"/>
      <c r="O284" s="113"/>
      <c r="P284" s="113"/>
      <c r="Q284" s="113"/>
      <c r="R284" s="113"/>
      <c r="S284" s="113"/>
      <c r="T284" s="113"/>
      <c r="U284" s="113"/>
      <c r="V284" s="113"/>
      <c r="W284" s="113"/>
      <c r="X284" s="113"/>
      <c r="Y284" s="113"/>
      <c r="Z284" s="113"/>
      <c r="AA284" s="113"/>
      <c r="AB284" s="113"/>
      <c r="AC284" s="113"/>
      <c r="AD284" s="293"/>
      <c r="AE284" s="293"/>
      <c r="AF284" s="293"/>
      <c r="AG284" s="293"/>
      <c r="AH284" s="293"/>
      <c r="AI284" s="293"/>
      <c r="AJ284" s="293"/>
      <c r="AK284" s="293"/>
      <c r="AL284" s="293"/>
      <c r="AM284" s="293"/>
      <c r="AN284" s="293"/>
      <c r="AO284" s="293"/>
      <c r="AP284" s="293"/>
      <c r="AQ284" s="293"/>
      <c r="AR284" s="293"/>
      <c r="AS284" s="293"/>
      <c r="AT284" s="293"/>
      <c r="AU284" s="293"/>
    </row>
    <row r="285" spans="1:47" x14ac:dyDescent="0.2">
      <c r="A285" s="293"/>
      <c r="B285" s="293"/>
      <c r="C285" s="113"/>
      <c r="D285" s="113"/>
      <c r="E285" s="113"/>
      <c r="F285" s="113"/>
      <c r="G285" s="113"/>
      <c r="H285" s="483"/>
      <c r="I285" s="113"/>
      <c r="J285" s="113"/>
      <c r="K285" s="113"/>
      <c r="L285" s="113"/>
      <c r="M285" s="483"/>
      <c r="N285" s="113"/>
      <c r="O285" s="113"/>
      <c r="P285" s="113"/>
      <c r="Q285" s="113"/>
      <c r="R285" s="113"/>
      <c r="S285" s="113"/>
      <c r="T285" s="113"/>
      <c r="U285" s="113"/>
      <c r="V285" s="113"/>
      <c r="W285" s="113"/>
      <c r="X285" s="113"/>
      <c r="Y285" s="113"/>
      <c r="Z285" s="113"/>
      <c r="AA285" s="113"/>
      <c r="AB285" s="113"/>
      <c r="AC285" s="113"/>
      <c r="AD285" s="293"/>
      <c r="AE285" s="293"/>
      <c r="AF285" s="293"/>
      <c r="AG285" s="293"/>
      <c r="AH285" s="293"/>
      <c r="AI285" s="293"/>
      <c r="AJ285" s="293"/>
      <c r="AK285" s="293"/>
      <c r="AL285" s="293"/>
      <c r="AM285" s="293"/>
      <c r="AN285" s="293"/>
      <c r="AO285" s="293"/>
      <c r="AP285" s="293"/>
      <c r="AQ285" s="293"/>
      <c r="AR285" s="293"/>
      <c r="AS285" s="293"/>
      <c r="AT285" s="293"/>
      <c r="AU285" s="293"/>
    </row>
    <row r="286" spans="1:47" x14ac:dyDescent="0.2">
      <c r="A286" s="293"/>
      <c r="B286" s="293"/>
      <c r="C286" s="113"/>
      <c r="D286" s="113"/>
      <c r="E286" s="113"/>
      <c r="F286" s="113"/>
      <c r="G286" s="113"/>
      <c r="H286" s="483"/>
      <c r="I286" s="113"/>
      <c r="J286" s="113"/>
      <c r="K286" s="113"/>
      <c r="L286" s="113"/>
      <c r="M286" s="483"/>
      <c r="N286" s="113"/>
      <c r="O286" s="113"/>
      <c r="P286" s="113"/>
      <c r="Q286" s="113"/>
      <c r="R286" s="113"/>
      <c r="S286" s="113"/>
      <c r="T286" s="113"/>
      <c r="U286" s="113"/>
      <c r="V286" s="113"/>
      <c r="W286" s="113"/>
      <c r="X286" s="113"/>
      <c r="Y286" s="113"/>
      <c r="Z286" s="113"/>
      <c r="AA286" s="113"/>
      <c r="AB286" s="113"/>
      <c r="AC286" s="113"/>
      <c r="AD286" s="293"/>
      <c r="AE286" s="293"/>
      <c r="AF286" s="293"/>
      <c r="AG286" s="293"/>
      <c r="AH286" s="293"/>
      <c r="AI286" s="293"/>
      <c r="AJ286" s="293"/>
      <c r="AK286" s="293"/>
      <c r="AL286" s="293"/>
      <c r="AM286" s="293"/>
      <c r="AN286" s="293"/>
      <c r="AO286" s="293"/>
      <c r="AP286" s="293"/>
      <c r="AQ286" s="293"/>
      <c r="AR286" s="293"/>
      <c r="AS286" s="293"/>
      <c r="AT286" s="293"/>
      <c r="AU286" s="293"/>
    </row>
    <row r="287" spans="1:47" x14ac:dyDescent="0.2">
      <c r="A287" s="293"/>
      <c r="B287" s="293"/>
      <c r="C287" s="293"/>
      <c r="D287" s="293"/>
      <c r="E287" s="293"/>
      <c r="F287" s="293"/>
      <c r="G287" s="293"/>
      <c r="H287" s="484"/>
      <c r="I287" s="293"/>
      <c r="J287" s="293"/>
      <c r="K287" s="293"/>
      <c r="L287" s="293"/>
      <c r="M287" s="484"/>
      <c r="N287" s="293"/>
      <c r="O287" s="293"/>
      <c r="P287" s="293"/>
      <c r="Q287" s="293"/>
      <c r="R287" s="293"/>
      <c r="S287" s="293"/>
      <c r="T287" s="293"/>
      <c r="U287" s="293"/>
      <c r="V287" s="293"/>
      <c r="W287" s="293"/>
      <c r="X287" s="293"/>
      <c r="Y287" s="293"/>
      <c r="Z287" s="293"/>
      <c r="AA287" s="293"/>
      <c r="AB287" s="293"/>
      <c r="AC287" s="293"/>
      <c r="AD287" s="293"/>
      <c r="AE287" s="293"/>
      <c r="AF287" s="293"/>
      <c r="AG287" s="293"/>
      <c r="AH287" s="293"/>
      <c r="AI287" s="293"/>
      <c r="AJ287" s="293"/>
      <c r="AK287" s="293"/>
      <c r="AL287" s="293"/>
      <c r="AM287" s="293"/>
      <c r="AN287" s="293"/>
      <c r="AO287" s="293"/>
      <c r="AP287" s="293"/>
      <c r="AQ287" s="293"/>
      <c r="AR287" s="293"/>
      <c r="AS287" s="293"/>
      <c r="AT287" s="293"/>
      <c r="AU287" s="293"/>
    </row>
    <row r="288" spans="1:47" x14ac:dyDescent="0.2">
      <c r="A288" s="293"/>
      <c r="B288" s="293"/>
      <c r="C288" s="293"/>
      <c r="D288" s="293"/>
      <c r="E288" s="293"/>
      <c r="F288" s="293"/>
      <c r="G288" s="293"/>
      <c r="H288" s="484"/>
      <c r="I288" s="293"/>
      <c r="J288" s="293"/>
      <c r="K288" s="293"/>
      <c r="L288" s="293"/>
      <c r="M288" s="484"/>
      <c r="N288" s="293"/>
      <c r="O288" s="293"/>
      <c r="P288" s="293"/>
      <c r="Q288" s="293"/>
      <c r="R288" s="293"/>
      <c r="S288" s="293"/>
      <c r="T288" s="293"/>
      <c r="U288" s="293"/>
      <c r="V288" s="293"/>
      <c r="W288" s="293"/>
      <c r="X288" s="293"/>
      <c r="Y288" s="293"/>
      <c r="Z288" s="293"/>
      <c r="AA288" s="293"/>
      <c r="AB288" s="293"/>
      <c r="AC288" s="293"/>
      <c r="AD288" s="293"/>
      <c r="AE288" s="293"/>
      <c r="AF288" s="293"/>
      <c r="AG288" s="293"/>
      <c r="AH288" s="293"/>
      <c r="AI288" s="293"/>
      <c r="AJ288" s="293"/>
      <c r="AK288" s="293"/>
      <c r="AL288" s="293"/>
      <c r="AM288" s="293"/>
      <c r="AN288" s="293"/>
      <c r="AO288" s="293"/>
      <c r="AP288" s="293"/>
      <c r="AQ288" s="293"/>
      <c r="AR288" s="293"/>
      <c r="AS288" s="293"/>
      <c r="AT288" s="293"/>
      <c r="AU288" s="293"/>
    </row>
    <row r="289" spans="1:47" x14ac:dyDescent="0.2">
      <c r="A289" s="293"/>
      <c r="B289" s="293"/>
      <c r="C289" s="293"/>
      <c r="D289" s="293"/>
      <c r="E289" s="293"/>
      <c r="F289" s="293"/>
      <c r="G289" s="293"/>
      <c r="H289" s="484"/>
      <c r="I289" s="293"/>
      <c r="J289" s="293"/>
      <c r="K289" s="293"/>
      <c r="L289" s="293"/>
      <c r="M289" s="484"/>
      <c r="N289" s="293"/>
      <c r="O289" s="293"/>
      <c r="P289" s="293"/>
      <c r="Q289" s="293"/>
      <c r="R289" s="293"/>
      <c r="S289" s="293"/>
      <c r="T289" s="293"/>
      <c r="U289" s="293"/>
      <c r="V289" s="293"/>
      <c r="W289" s="293"/>
      <c r="X289" s="293"/>
      <c r="Y289" s="293"/>
      <c r="Z289" s="293"/>
      <c r="AA289" s="293"/>
      <c r="AB289" s="293"/>
      <c r="AC289" s="293"/>
      <c r="AD289" s="293"/>
      <c r="AE289" s="293"/>
      <c r="AF289" s="293"/>
      <c r="AG289" s="293"/>
      <c r="AH289" s="293"/>
      <c r="AI289" s="293"/>
      <c r="AJ289" s="293"/>
      <c r="AK289" s="293"/>
      <c r="AL289" s="293"/>
      <c r="AM289" s="293"/>
      <c r="AN289" s="293"/>
      <c r="AO289" s="293"/>
      <c r="AP289" s="293"/>
      <c r="AQ289" s="293"/>
      <c r="AR289" s="293"/>
      <c r="AS289" s="293"/>
      <c r="AT289" s="293"/>
      <c r="AU289" s="293"/>
    </row>
    <row r="290" spans="1:47" x14ac:dyDescent="0.2">
      <c r="B290" s="293"/>
      <c r="C290" s="100"/>
      <c r="D290" s="100"/>
      <c r="E290" s="100"/>
      <c r="F290" s="100"/>
      <c r="G290" s="100"/>
      <c r="H290" s="101"/>
      <c r="I290" s="100"/>
      <c r="J290" s="100"/>
      <c r="K290" s="100"/>
      <c r="L290" s="100"/>
      <c r="M290" s="101"/>
      <c r="N290" s="100"/>
      <c r="O290" s="100"/>
      <c r="P290" s="100"/>
      <c r="Q290" s="100"/>
      <c r="R290" s="100"/>
      <c r="S290" s="100"/>
      <c r="T290" s="100"/>
      <c r="U290" s="100"/>
      <c r="V290" s="100"/>
      <c r="W290" s="100"/>
      <c r="X290" s="100"/>
      <c r="Y290" s="100"/>
      <c r="Z290" s="100"/>
      <c r="AA290" s="100"/>
      <c r="AB290" s="100"/>
      <c r="AC290" s="100"/>
      <c r="AD290" s="100"/>
      <c r="AE290" s="100"/>
      <c r="AF290" s="100"/>
      <c r="AG290" s="100"/>
      <c r="AH290" s="100"/>
      <c r="AI290" s="293"/>
      <c r="AJ290" s="293"/>
      <c r="AK290" s="293"/>
      <c r="AL290" s="293"/>
      <c r="AM290" s="293"/>
      <c r="AN290" s="293"/>
      <c r="AO290" s="293"/>
      <c r="AP290" s="293"/>
      <c r="AQ290" s="293"/>
      <c r="AR290" s="293"/>
      <c r="AS290" s="100"/>
    </row>
    <row r="291" spans="1:47" x14ac:dyDescent="0.2">
      <c r="B291" s="293"/>
      <c r="C291" s="100"/>
      <c r="D291" s="100"/>
      <c r="E291" s="100"/>
      <c r="F291" s="100"/>
      <c r="G291" s="100"/>
      <c r="H291" s="101"/>
      <c r="I291" s="100"/>
      <c r="J291" s="100"/>
      <c r="K291" s="100"/>
      <c r="L291" s="100"/>
      <c r="M291" s="101"/>
      <c r="N291" s="100"/>
      <c r="O291" s="100"/>
      <c r="P291" s="100"/>
      <c r="Q291" s="100"/>
      <c r="R291" s="100"/>
      <c r="S291" s="100"/>
      <c r="T291" s="100"/>
      <c r="U291" s="100"/>
      <c r="V291" s="100"/>
      <c r="W291" s="100"/>
      <c r="X291" s="100"/>
      <c r="Y291" s="100"/>
      <c r="Z291" s="100"/>
      <c r="AA291" s="100"/>
      <c r="AB291" s="100"/>
      <c r="AC291" s="100"/>
      <c r="AD291" s="100"/>
      <c r="AE291" s="100"/>
      <c r="AF291" s="100"/>
      <c r="AG291" s="100"/>
      <c r="AH291" s="100"/>
      <c r="AI291" s="293"/>
      <c r="AJ291" s="293"/>
      <c r="AK291" s="293"/>
      <c r="AL291" s="293"/>
      <c r="AM291" s="293"/>
      <c r="AN291" s="293"/>
      <c r="AO291" s="293"/>
      <c r="AP291" s="293"/>
      <c r="AQ291" s="293"/>
      <c r="AR291" s="293"/>
      <c r="AS291" s="100"/>
    </row>
    <row r="292" spans="1:47" x14ac:dyDescent="0.2">
      <c r="B292" s="293"/>
      <c r="C292" s="100"/>
      <c r="D292" s="100"/>
      <c r="E292" s="100"/>
      <c r="F292" s="100"/>
      <c r="G292" s="100"/>
      <c r="H292" s="101"/>
      <c r="I292" s="100"/>
      <c r="J292" s="100"/>
      <c r="K292" s="100"/>
      <c r="L292" s="100"/>
      <c r="M292" s="101"/>
      <c r="N292" s="100"/>
      <c r="O292" s="100"/>
      <c r="P292" s="100"/>
      <c r="Q292" s="100"/>
      <c r="R292" s="100"/>
      <c r="S292" s="100"/>
      <c r="T292" s="100"/>
      <c r="U292" s="100"/>
      <c r="V292" s="100"/>
      <c r="W292" s="100"/>
      <c r="X292" s="100"/>
      <c r="Y292" s="100"/>
      <c r="Z292" s="100"/>
      <c r="AA292" s="100"/>
      <c r="AB292" s="100"/>
      <c r="AC292" s="100"/>
      <c r="AD292" s="100"/>
      <c r="AE292" s="100"/>
      <c r="AF292" s="100"/>
      <c r="AG292" s="100"/>
      <c r="AH292" s="100"/>
      <c r="AI292" s="293"/>
      <c r="AJ292" s="293"/>
      <c r="AK292" s="293"/>
      <c r="AL292" s="293"/>
      <c r="AM292" s="293"/>
      <c r="AN292" s="293"/>
      <c r="AO292" s="293"/>
      <c r="AP292" s="293"/>
      <c r="AQ292" s="293"/>
      <c r="AR292" s="293"/>
      <c r="AS292" s="100"/>
    </row>
    <row r="293" spans="1:47" x14ac:dyDescent="0.2">
      <c r="B293" s="293"/>
      <c r="C293" s="100"/>
      <c r="D293" s="100"/>
      <c r="E293" s="100"/>
      <c r="F293" s="100"/>
      <c r="G293" s="100"/>
      <c r="H293" s="101"/>
      <c r="I293" s="100"/>
      <c r="J293" s="100"/>
      <c r="K293" s="100"/>
      <c r="L293" s="100"/>
      <c r="M293" s="101"/>
      <c r="N293" s="100"/>
      <c r="O293" s="100"/>
      <c r="P293" s="100"/>
      <c r="Q293" s="100"/>
      <c r="R293" s="100"/>
      <c r="S293" s="100"/>
      <c r="T293" s="100"/>
      <c r="U293" s="100"/>
      <c r="V293" s="100"/>
      <c r="W293" s="100"/>
      <c r="X293" s="100"/>
      <c r="Y293" s="100"/>
      <c r="Z293" s="100"/>
      <c r="AA293" s="100"/>
      <c r="AB293" s="100"/>
      <c r="AC293" s="100"/>
      <c r="AD293" s="100"/>
      <c r="AE293" s="100"/>
      <c r="AF293" s="100"/>
      <c r="AG293" s="100"/>
      <c r="AH293" s="100"/>
      <c r="AI293" s="293"/>
      <c r="AJ293" s="293"/>
      <c r="AK293" s="293"/>
      <c r="AL293" s="293"/>
      <c r="AM293" s="293"/>
      <c r="AN293" s="293"/>
      <c r="AO293" s="293"/>
      <c r="AP293" s="293"/>
      <c r="AQ293" s="293"/>
      <c r="AR293" s="293"/>
      <c r="AS293" s="100"/>
    </row>
    <row r="294" spans="1:47" x14ac:dyDescent="0.2">
      <c r="B294" s="293"/>
      <c r="C294" s="100"/>
      <c r="D294" s="100"/>
      <c r="E294" s="100"/>
      <c r="F294" s="100"/>
      <c r="G294" s="100"/>
      <c r="H294" s="101"/>
      <c r="I294" s="100"/>
      <c r="J294" s="100"/>
      <c r="K294" s="100"/>
      <c r="L294" s="100"/>
      <c r="M294" s="101"/>
      <c r="N294" s="100"/>
      <c r="O294" s="100"/>
      <c r="P294" s="100"/>
      <c r="Q294" s="100"/>
      <c r="R294" s="100"/>
      <c r="S294" s="100"/>
      <c r="T294" s="100"/>
      <c r="U294" s="100"/>
      <c r="V294" s="100"/>
      <c r="W294" s="100"/>
      <c r="X294" s="100"/>
      <c r="Y294" s="100"/>
      <c r="Z294" s="100"/>
      <c r="AA294" s="100"/>
      <c r="AB294" s="100"/>
      <c r="AC294" s="100"/>
      <c r="AD294" s="100"/>
      <c r="AE294" s="100"/>
      <c r="AF294" s="100"/>
      <c r="AG294" s="100"/>
      <c r="AH294" s="100"/>
      <c r="AI294" s="293"/>
      <c r="AJ294" s="293"/>
      <c r="AK294" s="293"/>
      <c r="AL294" s="293"/>
      <c r="AM294" s="293"/>
      <c r="AN294" s="293"/>
      <c r="AO294" s="293"/>
      <c r="AP294" s="293"/>
      <c r="AQ294" s="293"/>
      <c r="AR294" s="293"/>
      <c r="AS294" s="100"/>
    </row>
    <row r="295" spans="1:47" x14ac:dyDescent="0.2">
      <c r="B295" s="293"/>
      <c r="C295" s="100"/>
      <c r="D295" s="100"/>
      <c r="E295" s="100"/>
      <c r="F295" s="100"/>
      <c r="G295" s="100"/>
      <c r="H295" s="101"/>
      <c r="I295" s="100"/>
      <c r="J295" s="100"/>
      <c r="K295" s="100"/>
      <c r="L295" s="100"/>
      <c r="M295" s="101"/>
      <c r="N295" s="100"/>
      <c r="O295" s="100"/>
      <c r="P295" s="100"/>
      <c r="Q295" s="100"/>
      <c r="R295" s="100"/>
      <c r="S295" s="100"/>
      <c r="T295" s="100"/>
      <c r="U295" s="100"/>
      <c r="V295" s="100"/>
      <c r="W295" s="100"/>
      <c r="X295" s="100"/>
      <c r="Y295" s="100"/>
      <c r="Z295" s="100"/>
      <c r="AA295" s="100"/>
      <c r="AB295" s="100"/>
      <c r="AC295" s="100"/>
      <c r="AD295" s="100"/>
      <c r="AE295" s="100"/>
      <c r="AF295" s="100"/>
      <c r="AG295" s="100"/>
      <c r="AH295" s="100"/>
      <c r="AI295" s="293"/>
      <c r="AJ295" s="293"/>
      <c r="AK295" s="293"/>
      <c r="AL295" s="293"/>
      <c r="AM295" s="293"/>
      <c r="AN295" s="293"/>
      <c r="AO295" s="293"/>
      <c r="AP295" s="293"/>
      <c r="AQ295" s="293"/>
      <c r="AR295" s="293"/>
      <c r="AS295" s="100"/>
    </row>
    <row r="296" spans="1:47" x14ac:dyDescent="0.2">
      <c r="B296" s="293"/>
      <c r="C296" s="100"/>
      <c r="D296" s="100"/>
      <c r="E296" s="100"/>
      <c r="F296" s="100"/>
      <c r="G296" s="100"/>
      <c r="H296" s="101"/>
      <c r="I296" s="100"/>
      <c r="J296" s="100"/>
      <c r="K296" s="100"/>
      <c r="L296" s="100"/>
      <c r="M296" s="101"/>
      <c r="N296" s="100"/>
      <c r="O296" s="100"/>
      <c r="P296" s="100"/>
      <c r="Q296" s="100"/>
      <c r="R296" s="100"/>
      <c r="S296" s="100"/>
      <c r="T296" s="100"/>
      <c r="U296" s="100"/>
      <c r="V296" s="100"/>
      <c r="W296" s="100"/>
      <c r="X296" s="100"/>
      <c r="Y296" s="100"/>
      <c r="Z296" s="100"/>
      <c r="AA296" s="100"/>
      <c r="AB296" s="100"/>
      <c r="AC296" s="100"/>
      <c r="AD296" s="100"/>
      <c r="AE296" s="100"/>
      <c r="AF296" s="100"/>
      <c r="AG296" s="100"/>
      <c r="AH296" s="100"/>
      <c r="AI296" s="293"/>
      <c r="AJ296" s="293"/>
      <c r="AK296" s="293"/>
      <c r="AL296" s="293"/>
      <c r="AM296" s="293"/>
      <c r="AN296" s="293"/>
      <c r="AO296" s="293"/>
      <c r="AP296" s="293"/>
      <c r="AQ296" s="293"/>
      <c r="AR296" s="293"/>
      <c r="AS296" s="100"/>
    </row>
    <row r="297" spans="1:47" x14ac:dyDescent="0.2">
      <c r="B297" s="293"/>
      <c r="C297" s="100"/>
      <c r="D297" s="100"/>
      <c r="E297" s="100"/>
      <c r="F297" s="100"/>
      <c r="G297" s="100"/>
      <c r="H297" s="101"/>
      <c r="I297" s="100"/>
      <c r="J297" s="100"/>
      <c r="K297" s="100"/>
      <c r="L297" s="100"/>
      <c r="M297" s="101"/>
      <c r="N297" s="100"/>
      <c r="O297" s="100"/>
      <c r="P297" s="100"/>
      <c r="Q297" s="100"/>
      <c r="R297" s="100"/>
      <c r="S297" s="100"/>
      <c r="T297" s="100"/>
      <c r="U297" s="100"/>
      <c r="V297" s="100"/>
      <c r="W297" s="100"/>
      <c r="X297" s="100"/>
      <c r="Y297" s="100"/>
      <c r="Z297" s="100"/>
      <c r="AA297" s="100"/>
      <c r="AB297" s="100"/>
      <c r="AC297" s="100"/>
      <c r="AD297" s="100"/>
      <c r="AE297" s="100"/>
      <c r="AF297" s="100"/>
      <c r="AG297" s="100"/>
      <c r="AH297" s="100"/>
      <c r="AI297" s="293"/>
      <c r="AJ297" s="293"/>
      <c r="AK297" s="293"/>
      <c r="AL297" s="293"/>
      <c r="AM297" s="293"/>
      <c r="AN297" s="293"/>
      <c r="AO297" s="293"/>
      <c r="AP297" s="293"/>
      <c r="AQ297" s="293"/>
      <c r="AR297" s="293"/>
      <c r="AS297" s="100"/>
    </row>
    <row r="298" spans="1:47" x14ac:dyDescent="0.2">
      <c r="B298" s="293"/>
      <c r="C298" s="100"/>
      <c r="D298" s="100"/>
      <c r="E298" s="100"/>
      <c r="F298" s="100"/>
      <c r="G298" s="100"/>
      <c r="H298" s="101"/>
      <c r="I298" s="100"/>
      <c r="J298" s="100"/>
      <c r="K298" s="100"/>
      <c r="L298" s="100"/>
      <c r="M298" s="101"/>
      <c r="N298" s="100"/>
      <c r="O298" s="100"/>
      <c r="P298" s="100"/>
      <c r="Q298" s="100"/>
      <c r="R298" s="100"/>
      <c r="S298" s="100"/>
      <c r="T298" s="100"/>
      <c r="U298" s="100"/>
      <c r="V298" s="100"/>
      <c r="W298" s="100"/>
      <c r="X298" s="100"/>
      <c r="Y298" s="100"/>
      <c r="Z298" s="100"/>
      <c r="AA298" s="100"/>
      <c r="AB298" s="100"/>
      <c r="AC298" s="100"/>
      <c r="AD298" s="100"/>
      <c r="AE298" s="100"/>
      <c r="AF298" s="100"/>
      <c r="AG298" s="100"/>
      <c r="AH298" s="100"/>
      <c r="AI298" s="293"/>
      <c r="AJ298" s="293"/>
      <c r="AK298" s="293"/>
      <c r="AL298" s="293"/>
      <c r="AM298" s="293"/>
      <c r="AN298" s="293"/>
      <c r="AO298" s="293"/>
      <c r="AP298" s="293"/>
      <c r="AQ298" s="293"/>
      <c r="AR298" s="293"/>
      <c r="AS298" s="100"/>
    </row>
    <row r="299" spans="1:47" x14ac:dyDescent="0.2">
      <c r="B299" s="293"/>
      <c r="C299" s="100"/>
      <c r="D299" s="100"/>
      <c r="E299" s="100"/>
      <c r="F299" s="100"/>
      <c r="G299" s="100"/>
      <c r="H299" s="101"/>
      <c r="I299" s="100"/>
      <c r="J299" s="100"/>
      <c r="K299" s="100"/>
      <c r="L299" s="100"/>
      <c r="M299" s="101"/>
      <c r="N299" s="100"/>
      <c r="O299" s="100"/>
      <c r="P299" s="100"/>
      <c r="Q299" s="100"/>
      <c r="R299" s="100"/>
      <c r="S299" s="100"/>
      <c r="T299" s="100"/>
      <c r="U299" s="100"/>
      <c r="V299" s="100"/>
      <c r="W299" s="100"/>
      <c r="X299" s="100"/>
      <c r="Y299" s="100"/>
      <c r="Z299" s="100"/>
      <c r="AA299" s="100"/>
      <c r="AB299" s="100"/>
      <c r="AC299" s="100"/>
      <c r="AD299" s="100"/>
      <c r="AE299" s="100"/>
      <c r="AF299" s="100"/>
      <c r="AG299" s="100"/>
      <c r="AH299" s="100"/>
      <c r="AI299" s="293"/>
      <c r="AJ299" s="293"/>
      <c r="AK299" s="293"/>
      <c r="AL299" s="293"/>
      <c r="AM299" s="293"/>
      <c r="AN299" s="293"/>
      <c r="AO299" s="293"/>
      <c r="AP299" s="293"/>
      <c r="AQ299" s="293"/>
      <c r="AR299" s="293"/>
      <c r="AS299" s="100"/>
    </row>
    <row r="300" spans="1:47" x14ac:dyDescent="0.2">
      <c r="B300" s="293"/>
      <c r="C300" s="100"/>
      <c r="D300" s="100"/>
      <c r="E300" s="100"/>
      <c r="F300" s="100"/>
      <c r="G300" s="100"/>
      <c r="H300" s="101"/>
      <c r="I300" s="100"/>
      <c r="J300" s="100"/>
      <c r="K300" s="100"/>
      <c r="L300" s="100"/>
      <c r="M300" s="101"/>
      <c r="N300" s="100"/>
      <c r="O300" s="100"/>
      <c r="P300" s="100"/>
      <c r="Q300" s="100"/>
      <c r="R300" s="100"/>
      <c r="S300" s="100"/>
      <c r="T300" s="100"/>
      <c r="U300" s="100"/>
      <c r="V300" s="100"/>
      <c r="W300" s="100"/>
      <c r="X300" s="100"/>
      <c r="Y300" s="100"/>
      <c r="Z300" s="100"/>
      <c r="AA300" s="100"/>
      <c r="AB300" s="293"/>
      <c r="AC300" s="293"/>
      <c r="AD300" s="293"/>
      <c r="AE300" s="293"/>
      <c r="AF300" s="293"/>
      <c r="AG300" s="293"/>
      <c r="AH300" s="293"/>
      <c r="AI300" s="293"/>
      <c r="AJ300" s="293"/>
      <c r="AK300" s="293"/>
      <c r="AL300" s="293"/>
      <c r="AM300" s="293"/>
      <c r="AN300" s="293"/>
      <c r="AO300" s="293"/>
      <c r="AP300" s="293"/>
      <c r="AQ300" s="293"/>
      <c r="AR300" s="293"/>
      <c r="AS300" s="100"/>
    </row>
    <row r="301" spans="1:47" x14ac:dyDescent="0.2">
      <c r="B301" s="293"/>
      <c r="C301" s="100"/>
      <c r="D301" s="100"/>
      <c r="E301" s="100"/>
      <c r="F301" s="100"/>
      <c r="G301" s="100"/>
      <c r="H301" s="101"/>
      <c r="I301" s="100"/>
      <c r="J301" s="100"/>
      <c r="K301" s="100"/>
      <c r="L301" s="100"/>
      <c r="M301" s="101"/>
      <c r="N301" s="100"/>
      <c r="O301" s="100"/>
      <c r="P301" s="100"/>
      <c r="Q301" s="100"/>
      <c r="R301" s="100"/>
      <c r="S301" s="100"/>
      <c r="T301" s="100"/>
      <c r="U301" s="100"/>
      <c r="V301" s="100"/>
      <c r="W301" s="100"/>
      <c r="X301" s="100"/>
      <c r="Y301" s="100"/>
      <c r="Z301" s="100"/>
      <c r="AA301" s="100"/>
      <c r="AB301" s="293"/>
      <c r="AC301" s="293"/>
      <c r="AD301" s="293"/>
      <c r="AE301" s="293"/>
      <c r="AF301" s="293"/>
      <c r="AG301" s="293"/>
      <c r="AH301" s="293"/>
      <c r="AI301" s="293"/>
      <c r="AJ301" s="293"/>
      <c r="AK301" s="293"/>
      <c r="AL301" s="293"/>
      <c r="AM301" s="293"/>
      <c r="AN301" s="293"/>
      <c r="AO301" s="293"/>
      <c r="AP301" s="293"/>
      <c r="AQ301" s="293"/>
      <c r="AR301" s="293"/>
      <c r="AS301" s="100"/>
    </row>
    <row r="302" spans="1:47" x14ac:dyDescent="0.2">
      <c r="B302" s="293"/>
      <c r="C302" s="100"/>
      <c r="D302" s="100"/>
      <c r="E302" s="100"/>
      <c r="F302" s="100"/>
      <c r="G302" s="100"/>
      <c r="H302" s="101"/>
      <c r="I302" s="100"/>
      <c r="J302" s="100"/>
      <c r="K302" s="100"/>
      <c r="L302" s="100"/>
      <c r="M302" s="101"/>
      <c r="N302" s="100"/>
      <c r="O302" s="100"/>
      <c r="P302" s="100"/>
      <c r="Q302" s="100"/>
      <c r="R302" s="100"/>
      <c r="S302" s="100"/>
      <c r="T302" s="100"/>
      <c r="U302" s="100"/>
      <c r="V302" s="100"/>
      <c r="W302" s="100"/>
      <c r="X302" s="100"/>
      <c r="Y302" s="100"/>
      <c r="Z302" s="100"/>
      <c r="AA302" s="100"/>
      <c r="AB302" s="293"/>
      <c r="AC302" s="293"/>
      <c r="AD302" s="293"/>
      <c r="AE302" s="293"/>
      <c r="AF302" s="293"/>
      <c r="AG302" s="293"/>
      <c r="AH302" s="293"/>
      <c r="AI302" s="293"/>
      <c r="AJ302" s="293"/>
      <c r="AK302" s="293"/>
      <c r="AL302" s="293"/>
      <c r="AM302" s="293"/>
      <c r="AN302" s="293"/>
      <c r="AO302" s="293"/>
      <c r="AP302" s="293"/>
      <c r="AQ302" s="293"/>
      <c r="AR302" s="293"/>
      <c r="AS302" s="100"/>
    </row>
    <row r="303" spans="1:47" x14ac:dyDescent="0.2">
      <c r="B303" s="293"/>
      <c r="C303" s="100"/>
      <c r="D303" s="100"/>
      <c r="E303" s="100"/>
      <c r="F303" s="100"/>
      <c r="G303" s="100"/>
      <c r="H303" s="101"/>
      <c r="I303" s="100"/>
      <c r="J303" s="100"/>
      <c r="K303" s="100"/>
      <c r="L303" s="100"/>
      <c r="M303" s="101"/>
      <c r="N303" s="100"/>
      <c r="O303" s="100"/>
      <c r="P303" s="100"/>
      <c r="Q303" s="100"/>
      <c r="R303" s="100"/>
      <c r="S303" s="100"/>
      <c r="T303" s="100"/>
      <c r="U303" s="100"/>
      <c r="V303" s="100"/>
      <c r="W303" s="100"/>
      <c r="X303" s="100"/>
      <c r="Y303" s="100"/>
      <c r="Z303" s="100"/>
      <c r="AA303" s="100"/>
      <c r="AB303" s="293"/>
      <c r="AC303" s="293"/>
      <c r="AD303" s="293"/>
      <c r="AE303" s="293"/>
      <c r="AF303" s="293"/>
      <c r="AG303" s="293"/>
      <c r="AH303" s="293"/>
      <c r="AI303" s="293"/>
      <c r="AJ303" s="293"/>
      <c r="AK303" s="293"/>
      <c r="AL303" s="293"/>
      <c r="AM303" s="293"/>
      <c r="AN303" s="293"/>
      <c r="AO303" s="293"/>
      <c r="AP303" s="293"/>
      <c r="AQ303" s="293"/>
      <c r="AR303" s="293"/>
      <c r="AS303" s="100"/>
    </row>
    <row r="304" spans="1:47" x14ac:dyDescent="0.2">
      <c r="B304" s="293"/>
      <c r="C304" s="100"/>
      <c r="D304" s="100"/>
      <c r="E304" s="100"/>
      <c r="F304" s="100"/>
      <c r="G304" s="100"/>
      <c r="H304" s="101"/>
      <c r="I304" s="100"/>
      <c r="J304" s="100"/>
      <c r="K304" s="100"/>
      <c r="L304" s="100"/>
      <c r="M304" s="101"/>
      <c r="N304" s="100"/>
      <c r="O304" s="100"/>
      <c r="P304" s="100"/>
      <c r="Q304" s="100"/>
      <c r="R304" s="100"/>
      <c r="S304" s="100"/>
      <c r="T304" s="100"/>
      <c r="U304" s="100"/>
      <c r="V304" s="100"/>
      <c r="W304" s="100"/>
      <c r="X304" s="100"/>
      <c r="Y304" s="100"/>
      <c r="Z304" s="100"/>
      <c r="AA304" s="100"/>
      <c r="AB304" s="293"/>
      <c r="AC304" s="293"/>
      <c r="AD304" s="293"/>
      <c r="AE304" s="293"/>
      <c r="AF304" s="293"/>
      <c r="AG304" s="293"/>
      <c r="AH304" s="293"/>
      <c r="AI304" s="293"/>
      <c r="AJ304" s="293"/>
      <c r="AK304" s="293"/>
      <c r="AL304" s="293"/>
      <c r="AM304" s="293"/>
      <c r="AN304" s="293"/>
      <c r="AO304" s="293"/>
      <c r="AP304" s="293"/>
      <c r="AQ304" s="293"/>
      <c r="AR304" s="293"/>
      <c r="AS304" s="100"/>
    </row>
    <row r="305" spans="2:45" x14ac:dyDescent="0.2">
      <c r="B305" s="293"/>
      <c r="C305" s="100"/>
      <c r="D305" s="100"/>
      <c r="E305" s="100"/>
      <c r="F305" s="100"/>
      <c r="G305" s="100"/>
      <c r="H305" s="101"/>
      <c r="I305" s="100"/>
      <c r="J305" s="100"/>
      <c r="K305" s="100"/>
      <c r="L305" s="100"/>
      <c r="M305" s="101"/>
      <c r="N305" s="100"/>
      <c r="O305" s="100"/>
      <c r="P305" s="100"/>
      <c r="Q305" s="100"/>
      <c r="R305" s="100"/>
      <c r="S305" s="100"/>
      <c r="T305" s="100"/>
      <c r="U305" s="100"/>
      <c r="V305" s="100"/>
      <c r="W305" s="100"/>
      <c r="X305" s="100"/>
      <c r="Y305" s="100"/>
      <c r="Z305" s="100"/>
      <c r="AA305" s="100"/>
      <c r="AB305" s="293"/>
      <c r="AC305" s="293"/>
      <c r="AD305" s="293"/>
      <c r="AE305" s="293"/>
      <c r="AF305" s="293"/>
      <c r="AG305" s="293"/>
      <c r="AH305" s="293"/>
      <c r="AI305" s="293"/>
      <c r="AJ305" s="293"/>
      <c r="AK305" s="293"/>
      <c r="AL305" s="293"/>
      <c r="AM305" s="293"/>
      <c r="AN305" s="293"/>
      <c r="AO305" s="293"/>
      <c r="AP305" s="293"/>
      <c r="AQ305" s="293"/>
      <c r="AR305" s="293"/>
      <c r="AS305" s="100"/>
    </row>
    <row r="306" spans="2:45" x14ac:dyDescent="0.2">
      <c r="B306" s="293"/>
      <c r="C306" s="100"/>
      <c r="D306" s="100"/>
      <c r="E306" s="100"/>
      <c r="F306" s="100"/>
      <c r="G306" s="100"/>
      <c r="H306" s="101"/>
      <c r="I306" s="100"/>
      <c r="J306" s="100"/>
      <c r="K306" s="100"/>
      <c r="L306" s="100"/>
      <c r="M306" s="101"/>
      <c r="N306" s="100"/>
      <c r="O306" s="100"/>
      <c r="P306" s="100"/>
      <c r="Q306" s="100"/>
      <c r="R306" s="100"/>
      <c r="S306" s="100"/>
      <c r="T306" s="100"/>
      <c r="U306" s="100"/>
      <c r="V306" s="100"/>
      <c r="W306" s="100"/>
      <c r="X306" s="100"/>
      <c r="Y306" s="100"/>
      <c r="Z306" s="100"/>
      <c r="AA306" s="100"/>
      <c r="AB306" s="293"/>
      <c r="AC306" s="293"/>
      <c r="AD306" s="293"/>
      <c r="AE306" s="293"/>
      <c r="AF306" s="293"/>
      <c r="AG306" s="293"/>
      <c r="AH306" s="293"/>
      <c r="AI306" s="293"/>
      <c r="AJ306" s="293"/>
      <c r="AK306" s="293"/>
      <c r="AL306" s="293"/>
      <c r="AM306" s="293"/>
      <c r="AN306" s="293"/>
      <c r="AO306" s="293"/>
      <c r="AP306" s="293"/>
      <c r="AQ306" s="293"/>
      <c r="AR306" s="293"/>
      <c r="AS306" s="100"/>
    </row>
    <row r="307" spans="2:45" x14ac:dyDescent="0.2">
      <c r="B307" s="293"/>
      <c r="C307" s="100"/>
      <c r="D307" s="100"/>
      <c r="E307" s="100"/>
      <c r="F307" s="100"/>
      <c r="G307" s="100"/>
      <c r="H307" s="101"/>
      <c r="I307" s="100"/>
      <c r="J307" s="100"/>
      <c r="K307" s="100"/>
      <c r="L307" s="100"/>
      <c r="M307" s="101"/>
      <c r="N307" s="100"/>
      <c r="O307" s="100"/>
      <c r="P307" s="100"/>
      <c r="Q307" s="100"/>
      <c r="R307" s="100"/>
      <c r="S307" s="100"/>
      <c r="T307" s="100"/>
      <c r="U307" s="100"/>
      <c r="V307" s="100"/>
      <c r="W307" s="100"/>
      <c r="X307" s="100"/>
      <c r="Y307" s="100"/>
      <c r="Z307" s="100"/>
      <c r="AA307" s="100"/>
      <c r="AB307" s="293"/>
      <c r="AC307" s="293"/>
      <c r="AD307" s="293"/>
      <c r="AE307" s="293"/>
      <c r="AF307" s="293"/>
      <c r="AG307" s="293"/>
      <c r="AH307" s="293"/>
      <c r="AI307" s="293"/>
      <c r="AJ307" s="293"/>
      <c r="AK307" s="293"/>
      <c r="AL307" s="293"/>
      <c r="AM307" s="293"/>
      <c r="AN307" s="293"/>
      <c r="AO307" s="293"/>
      <c r="AP307" s="293"/>
      <c r="AQ307" s="293"/>
      <c r="AR307" s="293"/>
      <c r="AS307" s="100"/>
    </row>
    <row r="308" spans="2:45" x14ac:dyDescent="0.2">
      <c r="B308" s="293"/>
      <c r="C308" s="100"/>
      <c r="D308" s="100"/>
      <c r="E308" s="100"/>
      <c r="F308" s="100"/>
      <c r="G308" s="100"/>
      <c r="H308" s="101"/>
      <c r="I308" s="100"/>
      <c r="J308" s="100"/>
      <c r="K308" s="100"/>
      <c r="L308" s="100"/>
      <c r="M308" s="101"/>
      <c r="N308" s="100"/>
      <c r="O308" s="100"/>
      <c r="P308" s="100"/>
      <c r="Q308" s="100"/>
      <c r="R308" s="100"/>
      <c r="S308" s="100"/>
      <c r="T308" s="100"/>
      <c r="U308" s="100"/>
      <c r="V308" s="100"/>
      <c r="W308" s="100"/>
      <c r="X308" s="100"/>
      <c r="Y308" s="100"/>
      <c r="Z308" s="100"/>
      <c r="AA308" s="100"/>
      <c r="AB308" s="293"/>
      <c r="AC308" s="293"/>
      <c r="AD308" s="293"/>
      <c r="AE308" s="293"/>
      <c r="AF308" s="293"/>
      <c r="AG308" s="293"/>
      <c r="AH308" s="293"/>
      <c r="AI308" s="293"/>
      <c r="AJ308" s="293"/>
      <c r="AK308" s="293"/>
      <c r="AL308" s="293"/>
      <c r="AM308" s="293"/>
      <c r="AN308" s="293"/>
      <c r="AO308" s="293"/>
      <c r="AP308" s="293"/>
      <c r="AQ308" s="293"/>
      <c r="AR308" s="293"/>
      <c r="AS308" s="100"/>
    </row>
    <row r="309" spans="2:45" x14ac:dyDescent="0.2">
      <c r="B309" s="293"/>
      <c r="C309" s="100"/>
      <c r="D309" s="100"/>
      <c r="E309" s="100"/>
      <c r="F309" s="100"/>
      <c r="G309" s="100"/>
      <c r="H309" s="101"/>
      <c r="I309" s="100"/>
      <c r="J309" s="100"/>
      <c r="K309" s="100"/>
      <c r="L309" s="100"/>
      <c r="M309" s="101"/>
      <c r="N309" s="100"/>
      <c r="O309" s="100"/>
      <c r="P309" s="100"/>
      <c r="Q309" s="100"/>
      <c r="R309" s="100"/>
      <c r="S309" s="100"/>
      <c r="T309" s="100"/>
      <c r="U309" s="100"/>
      <c r="V309" s="100"/>
      <c r="W309" s="100"/>
      <c r="X309" s="100"/>
      <c r="Y309" s="100"/>
      <c r="Z309" s="100"/>
      <c r="AA309" s="100"/>
      <c r="AB309" s="293"/>
      <c r="AC309" s="293"/>
      <c r="AD309" s="293"/>
      <c r="AE309" s="293"/>
      <c r="AF309" s="293"/>
      <c r="AG309" s="293"/>
      <c r="AH309" s="293"/>
      <c r="AI309" s="293"/>
      <c r="AJ309" s="293"/>
      <c r="AK309" s="293"/>
      <c r="AL309" s="293"/>
      <c r="AM309" s="293"/>
      <c r="AN309" s="293"/>
      <c r="AO309" s="293"/>
      <c r="AP309" s="293"/>
      <c r="AQ309" s="293"/>
      <c r="AR309" s="293"/>
      <c r="AS309" s="100"/>
    </row>
    <row r="310" spans="2:45" x14ac:dyDescent="0.2">
      <c r="B310" s="293"/>
      <c r="C310" s="100"/>
      <c r="D310" s="100"/>
      <c r="E310" s="100"/>
      <c r="F310" s="100"/>
      <c r="G310" s="100"/>
      <c r="H310" s="101"/>
      <c r="I310" s="100"/>
      <c r="J310" s="100"/>
      <c r="K310" s="100"/>
      <c r="L310" s="100"/>
      <c r="M310" s="101"/>
      <c r="N310" s="100"/>
      <c r="O310" s="100"/>
      <c r="P310" s="100"/>
      <c r="Q310" s="100"/>
      <c r="R310" s="100"/>
      <c r="S310" s="100"/>
      <c r="T310" s="100"/>
      <c r="U310" s="100"/>
      <c r="V310" s="100"/>
      <c r="W310" s="100"/>
      <c r="X310" s="100"/>
      <c r="Y310" s="100"/>
      <c r="Z310" s="100"/>
      <c r="AA310" s="100"/>
      <c r="AB310" s="293"/>
      <c r="AC310" s="293"/>
      <c r="AD310" s="293"/>
      <c r="AE310" s="293"/>
      <c r="AF310" s="293"/>
      <c r="AG310" s="293"/>
      <c r="AH310" s="293"/>
      <c r="AI310" s="293"/>
      <c r="AJ310" s="293"/>
      <c r="AK310" s="293"/>
      <c r="AL310" s="293"/>
      <c r="AM310" s="293"/>
      <c r="AN310" s="293"/>
      <c r="AO310" s="293"/>
      <c r="AP310" s="293"/>
      <c r="AQ310" s="293"/>
      <c r="AR310" s="293"/>
      <c r="AS310" s="100"/>
    </row>
    <row r="311" spans="2:45" x14ac:dyDescent="0.2">
      <c r="B311" s="293"/>
      <c r="C311" s="100"/>
      <c r="D311" s="100"/>
      <c r="E311" s="100"/>
      <c r="F311" s="100"/>
      <c r="G311" s="100"/>
      <c r="H311" s="101"/>
      <c r="I311" s="100"/>
      <c r="J311" s="100"/>
      <c r="K311" s="100"/>
      <c r="L311" s="100"/>
      <c r="M311" s="101"/>
      <c r="N311" s="100"/>
      <c r="O311" s="100"/>
      <c r="P311" s="100"/>
      <c r="Q311" s="100"/>
      <c r="R311" s="100"/>
      <c r="S311" s="100"/>
      <c r="T311" s="100"/>
      <c r="U311" s="100"/>
      <c r="V311" s="100"/>
      <c r="W311" s="100"/>
      <c r="X311" s="100"/>
      <c r="Y311" s="100"/>
      <c r="Z311" s="100"/>
      <c r="AA311" s="100"/>
      <c r="AB311" s="293"/>
      <c r="AC311" s="293"/>
      <c r="AD311" s="293"/>
      <c r="AE311" s="293"/>
      <c r="AF311" s="293"/>
      <c r="AG311" s="293"/>
      <c r="AH311" s="293"/>
      <c r="AI311" s="293"/>
      <c r="AJ311" s="293"/>
      <c r="AK311" s="293"/>
      <c r="AL311" s="293"/>
      <c r="AM311" s="293"/>
      <c r="AN311" s="293"/>
      <c r="AO311" s="293"/>
      <c r="AP311" s="293"/>
      <c r="AQ311" s="293"/>
      <c r="AR311" s="293"/>
      <c r="AS311" s="100"/>
    </row>
    <row r="312" spans="2:45" x14ac:dyDescent="0.2">
      <c r="B312" s="293"/>
      <c r="C312" s="100"/>
      <c r="D312" s="100"/>
      <c r="E312" s="100"/>
      <c r="F312" s="100"/>
      <c r="G312" s="100"/>
      <c r="H312" s="101"/>
      <c r="I312" s="100"/>
      <c r="J312" s="100"/>
      <c r="K312" s="100"/>
      <c r="L312" s="100"/>
      <c r="M312" s="101"/>
      <c r="N312" s="100"/>
      <c r="O312" s="100"/>
      <c r="P312" s="100"/>
      <c r="Q312" s="100"/>
      <c r="R312" s="100"/>
      <c r="S312" s="100"/>
      <c r="T312" s="100"/>
      <c r="U312" s="100"/>
      <c r="V312" s="100"/>
      <c r="W312" s="100"/>
      <c r="X312" s="100"/>
      <c r="Y312" s="100"/>
      <c r="Z312" s="100"/>
      <c r="AA312" s="100"/>
      <c r="AB312" s="293"/>
      <c r="AC312" s="293"/>
      <c r="AD312" s="293"/>
      <c r="AE312" s="293"/>
      <c r="AF312" s="293"/>
      <c r="AG312" s="293"/>
      <c r="AH312" s="293"/>
      <c r="AI312" s="293"/>
      <c r="AJ312" s="293"/>
      <c r="AK312" s="293"/>
      <c r="AL312" s="293"/>
      <c r="AM312" s="293"/>
      <c r="AN312" s="293"/>
      <c r="AO312" s="293"/>
      <c r="AP312" s="293"/>
      <c r="AQ312" s="293"/>
      <c r="AR312" s="293"/>
      <c r="AS312" s="100"/>
    </row>
    <row r="313" spans="2:45" x14ac:dyDescent="0.2">
      <c r="C313" s="100"/>
      <c r="D313" s="100"/>
      <c r="E313" s="100"/>
      <c r="F313" s="100"/>
      <c r="G313" s="100"/>
      <c r="H313" s="101"/>
      <c r="I313" s="100"/>
      <c r="J313" s="100"/>
      <c r="K313" s="100"/>
      <c r="L313" s="100"/>
      <c r="M313" s="101"/>
      <c r="N313" s="100"/>
      <c r="O313" s="100"/>
      <c r="P313" s="100"/>
      <c r="Q313" s="100"/>
      <c r="R313" s="100"/>
      <c r="S313" s="100"/>
      <c r="T313" s="100"/>
      <c r="U313" s="100"/>
      <c r="V313" s="100"/>
      <c r="W313" s="100"/>
      <c r="X313" s="100"/>
      <c r="Y313" s="100"/>
      <c r="Z313" s="100"/>
      <c r="AA313" s="100"/>
      <c r="AB313" s="293"/>
      <c r="AC313" s="293"/>
      <c r="AD313" s="293"/>
      <c r="AE313" s="293"/>
      <c r="AF313" s="293"/>
      <c r="AG313" s="293"/>
      <c r="AH313" s="293"/>
      <c r="AI313" s="293"/>
      <c r="AJ313" s="293"/>
      <c r="AK313" s="293"/>
      <c r="AL313" s="293"/>
      <c r="AM313" s="293"/>
      <c r="AN313" s="293"/>
      <c r="AO313" s="293"/>
      <c r="AP313" s="293"/>
      <c r="AQ313" s="293"/>
      <c r="AR313" s="293"/>
      <c r="AS313" s="100"/>
    </row>
    <row r="314" spans="2:45" x14ac:dyDescent="0.2">
      <c r="C314" s="100"/>
      <c r="D314" s="100"/>
      <c r="E314" s="100"/>
      <c r="F314" s="100"/>
      <c r="G314" s="100"/>
      <c r="H314" s="101"/>
      <c r="I314" s="100"/>
      <c r="J314" s="100"/>
      <c r="K314" s="100"/>
      <c r="L314" s="100"/>
      <c r="M314" s="101"/>
      <c r="N314" s="100"/>
      <c r="O314" s="100"/>
      <c r="P314" s="100"/>
      <c r="Q314" s="100"/>
      <c r="R314" s="100"/>
      <c r="S314" s="100"/>
      <c r="T314" s="100"/>
      <c r="U314" s="100"/>
      <c r="V314" s="100"/>
      <c r="W314" s="100"/>
      <c r="X314" s="100"/>
      <c r="Y314" s="100"/>
      <c r="Z314" s="100"/>
      <c r="AA314" s="100"/>
      <c r="AB314" s="293"/>
      <c r="AC314" s="293"/>
      <c r="AD314" s="293"/>
      <c r="AE314" s="293"/>
      <c r="AF314" s="293"/>
      <c r="AG314" s="293"/>
      <c r="AH314" s="293"/>
      <c r="AI314" s="293"/>
      <c r="AJ314" s="293"/>
      <c r="AK314" s="293"/>
      <c r="AL314" s="293"/>
      <c r="AM314" s="293"/>
      <c r="AN314" s="293"/>
      <c r="AO314" s="293"/>
      <c r="AP314" s="293"/>
      <c r="AQ314" s="293"/>
      <c r="AR314" s="293"/>
      <c r="AS314" s="100"/>
    </row>
    <row r="315" spans="2:45" x14ac:dyDescent="0.2">
      <c r="C315" s="100"/>
      <c r="D315" s="100"/>
      <c r="E315" s="100"/>
      <c r="F315" s="100"/>
      <c r="G315" s="100"/>
      <c r="H315" s="101"/>
      <c r="I315" s="100"/>
      <c r="J315" s="100"/>
      <c r="K315" s="100"/>
      <c r="L315" s="100"/>
      <c r="M315" s="101"/>
      <c r="N315" s="100"/>
      <c r="O315" s="100"/>
      <c r="P315" s="100"/>
      <c r="Q315" s="100"/>
      <c r="R315" s="100"/>
      <c r="S315" s="100"/>
      <c r="T315" s="100"/>
      <c r="U315" s="100"/>
      <c r="V315" s="100"/>
      <c r="W315" s="100"/>
      <c r="X315" s="100"/>
      <c r="Y315" s="100"/>
      <c r="Z315" s="100"/>
      <c r="AA315" s="100"/>
      <c r="AB315" s="293"/>
      <c r="AC315" s="293"/>
      <c r="AD315" s="293"/>
      <c r="AE315" s="293"/>
      <c r="AF315" s="293"/>
      <c r="AG315" s="293"/>
      <c r="AH315" s="293"/>
      <c r="AI315" s="293"/>
      <c r="AJ315" s="293"/>
      <c r="AK315" s="293"/>
      <c r="AL315" s="293"/>
      <c r="AM315" s="293"/>
      <c r="AN315" s="293"/>
      <c r="AO315" s="293"/>
      <c r="AP315" s="293"/>
      <c r="AQ315" s="293"/>
      <c r="AR315" s="293"/>
      <c r="AS315" s="100"/>
    </row>
    <row r="316" spans="2:45" x14ac:dyDescent="0.2">
      <c r="C316" s="100"/>
      <c r="D316" s="100"/>
      <c r="E316" s="100"/>
      <c r="F316" s="100"/>
      <c r="G316" s="100"/>
      <c r="H316" s="101"/>
      <c r="I316" s="100"/>
      <c r="J316" s="100"/>
      <c r="K316" s="100"/>
      <c r="L316" s="100"/>
      <c r="M316" s="101"/>
      <c r="N316" s="100"/>
      <c r="O316" s="100"/>
      <c r="P316" s="100"/>
      <c r="Q316" s="100"/>
      <c r="R316" s="100"/>
      <c r="S316" s="100"/>
      <c r="T316" s="100"/>
      <c r="U316" s="100"/>
      <c r="V316" s="100"/>
      <c r="W316" s="100"/>
      <c r="X316" s="100"/>
      <c r="Y316" s="100"/>
      <c r="Z316" s="100"/>
      <c r="AA316" s="100"/>
      <c r="AB316" s="293"/>
      <c r="AC316" s="293"/>
      <c r="AD316" s="293"/>
      <c r="AE316" s="293"/>
      <c r="AF316" s="293"/>
      <c r="AG316" s="293"/>
      <c r="AH316" s="293"/>
      <c r="AI316" s="293"/>
      <c r="AJ316" s="293"/>
      <c r="AK316" s="293"/>
      <c r="AL316" s="293"/>
      <c r="AM316" s="293"/>
      <c r="AN316" s="293"/>
      <c r="AO316" s="293"/>
      <c r="AP316" s="293"/>
      <c r="AQ316" s="293"/>
      <c r="AR316" s="293"/>
      <c r="AS316" s="100"/>
    </row>
    <row r="317" spans="2:45" x14ac:dyDescent="0.2">
      <c r="C317" s="100"/>
      <c r="D317" s="100"/>
      <c r="E317" s="100"/>
      <c r="F317" s="100"/>
      <c r="G317" s="100"/>
      <c r="H317" s="101"/>
      <c r="I317" s="100"/>
      <c r="J317" s="100"/>
      <c r="K317" s="100"/>
      <c r="L317" s="100"/>
      <c r="M317" s="101"/>
      <c r="N317" s="100"/>
      <c r="O317" s="100"/>
      <c r="P317" s="100"/>
      <c r="Q317" s="100"/>
      <c r="R317" s="100"/>
      <c r="S317" s="100"/>
      <c r="T317" s="100"/>
      <c r="U317" s="100"/>
      <c r="V317" s="100"/>
      <c r="W317" s="100"/>
      <c r="X317" s="100"/>
      <c r="Y317" s="100"/>
      <c r="Z317" s="100"/>
      <c r="AA317" s="100"/>
      <c r="AB317" s="293"/>
      <c r="AC317" s="293"/>
      <c r="AD317" s="293"/>
      <c r="AE317" s="293"/>
      <c r="AF317" s="293"/>
      <c r="AG317" s="293"/>
      <c r="AH317" s="293"/>
      <c r="AI317" s="293"/>
      <c r="AJ317" s="293"/>
      <c r="AK317" s="293"/>
      <c r="AL317" s="293"/>
      <c r="AM317" s="293"/>
      <c r="AN317" s="293"/>
      <c r="AO317" s="293"/>
      <c r="AP317" s="293"/>
      <c r="AQ317" s="293"/>
      <c r="AR317" s="293"/>
      <c r="AS317" s="100"/>
    </row>
    <row r="318" spans="2:45" x14ac:dyDescent="0.2">
      <c r="C318" s="100"/>
      <c r="D318" s="100"/>
      <c r="E318" s="100"/>
      <c r="F318" s="100"/>
      <c r="G318" s="100"/>
      <c r="H318" s="101"/>
      <c r="I318" s="100"/>
      <c r="J318" s="100"/>
      <c r="K318" s="100"/>
      <c r="L318" s="100"/>
      <c r="M318" s="101"/>
      <c r="N318" s="100"/>
      <c r="O318" s="100"/>
      <c r="P318" s="100"/>
      <c r="Q318" s="100"/>
      <c r="R318" s="100"/>
      <c r="S318" s="100"/>
      <c r="T318" s="100"/>
      <c r="U318" s="100"/>
      <c r="V318" s="100"/>
      <c r="W318" s="100"/>
      <c r="X318" s="100"/>
      <c r="Y318" s="100"/>
      <c r="Z318" s="100"/>
      <c r="AA318" s="100"/>
      <c r="AB318" s="293"/>
      <c r="AC318" s="293"/>
      <c r="AD318" s="293"/>
      <c r="AE318" s="293"/>
      <c r="AF318" s="293"/>
      <c r="AG318" s="293"/>
      <c r="AH318" s="293"/>
      <c r="AI318" s="293"/>
      <c r="AJ318" s="293"/>
      <c r="AK318" s="293"/>
      <c r="AL318" s="293"/>
      <c r="AM318" s="293"/>
      <c r="AN318" s="293"/>
      <c r="AO318" s="293"/>
      <c r="AP318" s="293"/>
      <c r="AQ318" s="293"/>
      <c r="AR318" s="293"/>
      <c r="AS318" s="100"/>
    </row>
    <row r="319" spans="2:45" x14ac:dyDescent="0.2">
      <c r="C319" s="100"/>
      <c r="D319" s="100"/>
      <c r="E319" s="100"/>
      <c r="F319" s="100"/>
      <c r="G319" s="100"/>
      <c r="H319" s="101"/>
      <c r="I319" s="100"/>
      <c r="J319" s="100"/>
      <c r="K319" s="100"/>
      <c r="L319" s="100"/>
      <c r="M319" s="101"/>
      <c r="N319" s="100"/>
      <c r="O319" s="100"/>
      <c r="P319" s="100"/>
      <c r="Q319" s="100"/>
      <c r="R319" s="100"/>
      <c r="S319" s="100"/>
      <c r="T319" s="100"/>
      <c r="U319" s="100"/>
      <c r="V319" s="100"/>
      <c r="W319" s="100"/>
      <c r="X319" s="100"/>
      <c r="Y319" s="100"/>
      <c r="Z319" s="100"/>
      <c r="AA319" s="100"/>
      <c r="AB319" s="293"/>
      <c r="AC319" s="293"/>
      <c r="AD319" s="293"/>
      <c r="AE319" s="293"/>
      <c r="AF319" s="293"/>
      <c r="AG319" s="293"/>
      <c r="AH319" s="293"/>
      <c r="AI319" s="293"/>
      <c r="AJ319" s="293"/>
      <c r="AK319" s="293"/>
      <c r="AL319" s="293"/>
      <c r="AM319" s="293"/>
      <c r="AN319" s="293"/>
      <c r="AO319" s="293"/>
      <c r="AP319" s="293"/>
      <c r="AQ319" s="293"/>
      <c r="AR319" s="293"/>
      <c r="AS319" s="100"/>
    </row>
    <row r="320" spans="2:45" x14ac:dyDescent="0.2">
      <c r="C320" s="100"/>
      <c r="D320" s="100"/>
      <c r="E320" s="100"/>
      <c r="F320" s="100"/>
      <c r="G320" s="100"/>
      <c r="H320" s="101"/>
      <c r="I320" s="100"/>
      <c r="J320" s="100"/>
      <c r="K320" s="100"/>
      <c r="L320" s="100"/>
      <c r="M320" s="101"/>
      <c r="N320" s="100"/>
      <c r="O320" s="100"/>
      <c r="P320" s="100"/>
      <c r="Q320" s="100"/>
      <c r="R320" s="100"/>
      <c r="S320" s="100"/>
      <c r="T320" s="100"/>
      <c r="U320" s="100"/>
      <c r="V320" s="100"/>
      <c r="W320" s="100"/>
      <c r="X320" s="100"/>
      <c r="Y320" s="100"/>
      <c r="Z320" s="100"/>
      <c r="AA320" s="100"/>
      <c r="AB320" s="293"/>
      <c r="AC320" s="293"/>
      <c r="AD320" s="293"/>
      <c r="AE320" s="293"/>
      <c r="AF320" s="293"/>
      <c r="AG320" s="293"/>
      <c r="AH320" s="293"/>
      <c r="AI320" s="293"/>
      <c r="AJ320" s="293"/>
      <c r="AK320" s="293"/>
      <c r="AL320" s="293"/>
      <c r="AM320" s="293"/>
      <c r="AN320" s="293"/>
      <c r="AO320" s="293"/>
      <c r="AP320" s="293"/>
      <c r="AQ320" s="293"/>
      <c r="AR320" s="293"/>
      <c r="AS320" s="100"/>
    </row>
    <row r="321" spans="3:45" x14ac:dyDescent="0.2">
      <c r="C321" s="100"/>
      <c r="D321" s="100"/>
      <c r="E321" s="100"/>
      <c r="F321" s="100"/>
      <c r="G321" s="100"/>
      <c r="H321" s="101"/>
      <c r="I321" s="100"/>
      <c r="J321" s="100"/>
      <c r="K321" s="100"/>
      <c r="L321" s="100"/>
      <c r="M321" s="101"/>
      <c r="N321" s="100"/>
      <c r="O321" s="100"/>
      <c r="P321" s="100"/>
      <c r="Q321" s="100"/>
      <c r="R321" s="100"/>
      <c r="S321" s="100"/>
      <c r="T321" s="100"/>
      <c r="U321" s="100"/>
      <c r="V321" s="100"/>
      <c r="W321" s="100"/>
      <c r="X321" s="100"/>
      <c r="Y321" s="100"/>
      <c r="Z321" s="100"/>
      <c r="AA321" s="100"/>
      <c r="AB321" s="293"/>
      <c r="AC321" s="293"/>
      <c r="AD321" s="293"/>
      <c r="AE321" s="293"/>
      <c r="AF321" s="293"/>
      <c r="AG321" s="293"/>
      <c r="AH321" s="293"/>
      <c r="AI321" s="293"/>
      <c r="AJ321" s="293"/>
      <c r="AK321" s="293"/>
      <c r="AL321" s="293"/>
      <c r="AM321" s="293"/>
      <c r="AN321" s="293"/>
      <c r="AO321" s="293"/>
      <c r="AP321" s="293"/>
      <c r="AQ321" s="293"/>
      <c r="AR321" s="293"/>
      <c r="AS321" s="100"/>
    </row>
    <row r="322" spans="3:45" x14ac:dyDescent="0.2">
      <c r="C322" s="100"/>
      <c r="D322" s="100"/>
      <c r="E322" s="100"/>
      <c r="F322" s="100"/>
      <c r="G322" s="100"/>
      <c r="H322" s="101"/>
      <c r="I322" s="100"/>
      <c r="J322" s="100"/>
      <c r="K322" s="100"/>
      <c r="L322" s="100"/>
      <c r="M322" s="101"/>
      <c r="N322" s="100"/>
      <c r="O322" s="100"/>
      <c r="P322" s="100"/>
      <c r="Q322" s="100"/>
      <c r="R322" s="100"/>
      <c r="S322" s="100"/>
      <c r="T322" s="100"/>
      <c r="U322" s="100"/>
      <c r="V322" s="100"/>
      <c r="W322" s="100"/>
      <c r="X322" s="100"/>
      <c r="Y322" s="100"/>
      <c r="Z322" s="100"/>
      <c r="AA322" s="100"/>
      <c r="AB322" s="293"/>
      <c r="AC322" s="293"/>
      <c r="AD322" s="293"/>
      <c r="AE322" s="293"/>
      <c r="AF322" s="293"/>
      <c r="AG322" s="293"/>
      <c r="AH322" s="293"/>
      <c r="AI322" s="293"/>
      <c r="AJ322" s="293"/>
      <c r="AK322" s="293"/>
      <c r="AL322" s="293"/>
      <c r="AM322" s="293"/>
      <c r="AN322" s="293"/>
      <c r="AO322" s="293"/>
      <c r="AP322" s="293"/>
      <c r="AQ322" s="293"/>
      <c r="AR322" s="293"/>
      <c r="AS322" s="100"/>
    </row>
    <row r="323" spans="3:45" x14ac:dyDescent="0.2">
      <c r="C323" s="100"/>
      <c r="D323" s="100"/>
      <c r="E323" s="100"/>
      <c r="F323" s="100"/>
      <c r="G323" s="100"/>
      <c r="H323" s="101"/>
      <c r="I323" s="100"/>
      <c r="J323" s="100"/>
      <c r="K323" s="100"/>
      <c r="L323" s="100"/>
      <c r="M323" s="101"/>
      <c r="N323" s="100"/>
      <c r="O323" s="100"/>
      <c r="P323" s="100"/>
      <c r="Q323" s="100"/>
      <c r="R323" s="100"/>
      <c r="S323" s="100"/>
      <c r="T323" s="100"/>
      <c r="U323" s="100"/>
      <c r="V323" s="100"/>
      <c r="W323" s="100"/>
      <c r="X323" s="100"/>
      <c r="Y323" s="100"/>
      <c r="Z323" s="100"/>
      <c r="AA323" s="100"/>
      <c r="AB323" s="293"/>
      <c r="AC323" s="293"/>
      <c r="AD323" s="293"/>
      <c r="AE323" s="293"/>
      <c r="AF323" s="293"/>
      <c r="AG323" s="293"/>
      <c r="AH323" s="293"/>
      <c r="AI323" s="293"/>
      <c r="AJ323" s="293"/>
      <c r="AK323" s="293"/>
      <c r="AL323" s="293"/>
      <c r="AM323" s="293"/>
      <c r="AN323" s="293"/>
      <c r="AO323" s="293"/>
      <c r="AP323" s="293"/>
      <c r="AQ323" s="293"/>
      <c r="AR323" s="293"/>
      <c r="AS323" s="100"/>
    </row>
    <row r="324" spans="3:45" x14ac:dyDescent="0.2">
      <c r="C324" s="100"/>
      <c r="D324" s="100"/>
      <c r="E324" s="100"/>
      <c r="F324" s="100"/>
      <c r="G324" s="100"/>
      <c r="H324" s="101"/>
      <c r="I324" s="100"/>
      <c r="J324" s="100"/>
      <c r="K324" s="100"/>
      <c r="L324" s="100"/>
      <c r="M324" s="101"/>
      <c r="N324" s="100"/>
      <c r="O324" s="100"/>
      <c r="P324" s="100"/>
      <c r="Q324" s="100"/>
      <c r="R324" s="100"/>
      <c r="S324" s="100"/>
      <c r="T324" s="100"/>
      <c r="U324" s="100"/>
      <c r="V324" s="100"/>
      <c r="W324" s="100"/>
      <c r="X324" s="100"/>
      <c r="Y324" s="100"/>
      <c r="Z324" s="100"/>
      <c r="AA324" s="100"/>
      <c r="AB324" s="293"/>
      <c r="AC324" s="293"/>
      <c r="AD324" s="293"/>
      <c r="AE324" s="293"/>
      <c r="AF324" s="293"/>
      <c r="AG324" s="293"/>
      <c r="AH324" s="293"/>
      <c r="AI324" s="293"/>
      <c r="AJ324" s="293"/>
      <c r="AK324" s="293"/>
      <c r="AL324" s="293"/>
      <c r="AM324" s="293"/>
      <c r="AN324" s="293"/>
      <c r="AO324" s="293"/>
      <c r="AP324" s="293"/>
      <c r="AQ324" s="293"/>
      <c r="AR324" s="293"/>
      <c r="AS324" s="100"/>
    </row>
    <row r="325" spans="3:45" x14ac:dyDescent="0.2">
      <c r="C325" s="100"/>
      <c r="D325" s="100"/>
      <c r="E325" s="100"/>
      <c r="F325" s="100"/>
      <c r="G325" s="100"/>
      <c r="H325" s="101"/>
      <c r="I325" s="100"/>
      <c r="J325" s="100"/>
      <c r="K325" s="100"/>
      <c r="L325" s="100"/>
      <c r="M325" s="101"/>
      <c r="N325" s="100"/>
      <c r="O325" s="100"/>
      <c r="P325" s="100"/>
      <c r="Q325" s="100"/>
      <c r="R325" s="100"/>
      <c r="S325" s="100"/>
      <c r="T325" s="100"/>
      <c r="U325" s="100"/>
      <c r="V325" s="100"/>
      <c r="W325" s="100"/>
      <c r="X325" s="100"/>
      <c r="Y325" s="100"/>
      <c r="Z325" s="100"/>
      <c r="AA325" s="100"/>
      <c r="AB325" s="293"/>
      <c r="AC325" s="293"/>
      <c r="AD325" s="293"/>
      <c r="AE325" s="293"/>
      <c r="AF325" s="293"/>
      <c r="AG325" s="293"/>
      <c r="AH325" s="293"/>
      <c r="AI325" s="293"/>
      <c r="AJ325" s="293"/>
      <c r="AK325" s="293"/>
      <c r="AL325" s="293"/>
      <c r="AM325" s="293"/>
      <c r="AN325" s="293"/>
      <c r="AO325" s="293"/>
      <c r="AP325" s="293"/>
      <c r="AQ325" s="293"/>
      <c r="AR325" s="293"/>
      <c r="AS325" s="100"/>
    </row>
    <row r="326" spans="3:45" x14ac:dyDescent="0.2">
      <c r="C326" s="100"/>
      <c r="D326" s="100"/>
      <c r="E326" s="100"/>
      <c r="F326" s="100"/>
      <c r="G326" s="100"/>
      <c r="H326" s="101"/>
      <c r="I326" s="100"/>
      <c r="J326" s="100"/>
      <c r="K326" s="100"/>
      <c r="L326" s="100"/>
      <c r="M326" s="101"/>
      <c r="N326" s="100"/>
      <c r="O326" s="100"/>
      <c r="P326" s="100"/>
      <c r="Q326" s="100"/>
      <c r="R326" s="100"/>
      <c r="S326" s="100"/>
      <c r="T326" s="100"/>
      <c r="U326" s="100"/>
      <c r="V326" s="100"/>
      <c r="W326" s="100"/>
      <c r="X326" s="100"/>
      <c r="Y326" s="100"/>
      <c r="Z326" s="100"/>
      <c r="AA326" s="100"/>
      <c r="AB326" s="293"/>
      <c r="AC326" s="293"/>
      <c r="AD326" s="293"/>
      <c r="AE326" s="293"/>
      <c r="AF326" s="293"/>
      <c r="AG326" s="293"/>
      <c r="AH326" s="293"/>
      <c r="AI326" s="293"/>
      <c r="AJ326" s="293"/>
      <c r="AK326" s="293"/>
      <c r="AL326" s="293"/>
      <c r="AM326" s="293"/>
      <c r="AN326" s="293"/>
      <c r="AO326" s="293"/>
      <c r="AP326" s="293"/>
      <c r="AQ326" s="293"/>
      <c r="AR326" s="293"/>
      <c r="AS326" s="100"/>
    </row>
    <row r="327" spans="3:45" x14ac:dyDescent="0.2">
      <c r="C327" s="100"/>
      <c r="D327" s="100"/>
      <c r="E327" s="100"/>
      <c r="F327" s="100"/>
      <c r="G327" s="100"/>
      <c r="H327" s="101"/>
      <c r="I327" s="100"/>
      <c r="J327" s="100"/>
      <c r="K327" s="100"/>
      <c r="L327" s="100"/>
      <c r="M327" s="101"/>
      <c r="N327" s="100"/>
      <c r="O327" s="100"/>
      <c r="P327" s="100"/>
      <c r="Q327" s="100"/>
      <c r="R327" s="100"/>
      <c r="S327" s="100"/>
      <c r="T327" s="100"/>
      <c r="U327" s="100"/>
      <c r="V327" s="100"/>
      <c r="W327" s="100"/>
      <c r="X327" s="100"/>
      <c r="Y327" s="100"/>
      <c r="Z327" s="100"/>
      <c r="AA327" s="100"/>
      <c r="AB327" s="293"/>
      <c r="AC327" s="293"/>
      <c r="AD327" s="293"/>
      <c r="AE327" s="293"/>
      <c r="AF327" s="293"/>
      <c r="AG327" s="293"/>
      <c r="AH327" s="293"/>
      <c r="AI327" s="293"/>
      <c r="AJ327" s="293"/>
      <c r="AK327" s="293"/>
      <c r="AL327" s="293"/>
      <c r="AM327" s="293"/>
      <c r="AN327" s="293"/>
      <c r="AO327" s="293"/>
      <c r="AP327" s="293"/>
      <c r="AQ327" s="293"/>
      <c r="AR327" s="293"/>
      <c r="AS327" s="100"/>
    </row>
    <row r="328" spans="3:45" x14ac:dyDescent="0.2">
      <c r="C328" s="100"/>
      <c r="D328" s="100"/>
      <c r="E328" s="100"/>
      <c r="F328" s="100"/>
      <c r="G328" s="100"/>
      <c r="H328" s="101"/>
      <c r="I328" s="100"/>
      <c r="J328" s="100"/>
      <c r="K328" s="100"/>
      <c r="L328" s="100"/>
      <c r="M328" s="101"/>
      <c r="N328" s="100"/>
      <c r="O328" s="100"/>
      <c r="P328" s="100"/>
      <c r="Q328" s="100"/>
      <c r="R328" s="100"/>
      <c r="S328" s="100"/>
      <c r="T328" s="100"/>
      <c r="U328" s="100"/>
      <c r="V328" s="100"/>
      <c r="W328" s="100"/>
      <c r="X328" s="100"/>
      <c r="Y328" s="100"/>
      <c r="Z328" s="100"/>
      <c r="AA328" s="100"/>
      <c r="AB328" s="293"/>
      <c r="AC328" s="293"/>
      <c r="AD328" s="293"/>
      <c r="AE328" s="293"/>
      <c r="AF328" s="293"/>
      <c r="AG328" s="293"/>
      <c r="AH328" s="293"/>
      <c r="AI328" s="293"/>
      <c r="AJ328" s="293"/>
      <c r="AK328" s="293"/>
      <c r="AL328" s="293"/>
      <c r="AM328" s="293"/>
      <c r="AN328" s="293"/>
      <c r="AO328" s="293"/>
      <c r="AP328" s="293"/>
      <c r="AQ328" s="293"/>
      <c r="AR328" s="293"/>
      <c r="AS328" s="100"/>
    </row>
    <row r="329" spans="3:45" x14ac:dyDescent="0.2">
      <c r="C329" s="100"/>
      <c r="D329" s="100"/>
      <c r="E329" s="100"/>
      <c r="F329" s="100"/>
      <c r="G329" s="100"/>
      <c r="H329" s="101"/>
      <c r="I329" s="100"/>
      <c r="J329" s="100"/>
      <c r="K329" s="100"/>
      <c r="L329" s="100"/>
      <c r="M329" s="101"/>
      <c r="N329" s="100"/>
      <c r="O329" s="100"/>
      <c r="P329" s="100"/>
      <c r="Q329" s="100"/>
      <c r="R329" s="100"/>
      <c r="S329" s="100"/>
      <c r="T329" s="100"/>
      <c r="U329" s="100"/>
      <c r="V329" s="100"/>
      <c r="W329" s="100"/>
      <c r="X329" s="100"/>
      <c r="Y329" s="100"/>
      <c r="Z329" s="100"/>
      <c r="AA329" s="100"/>
      <c r="AB329" s="293"/>
      <c r="AC329" s="293"/>
      <c r="AD329" s="293"/>
      <c r="AE329" s="293"/>
      <c r="AF329" s="293"/>
      <c r="AG329" s="293"/>
      <c r="AH329" s="293"/>
      <c r="AI329" s="293"/>
      <c r="AJ329" s="293"/>
      <c r="AK329" s="293"/>
      <c r="AL329" s="293"/>
      <c r="AM329" s="293"/>
      <c r="AN329" s="293"/>
      <c r="AO329" s="293"/>
      <c r="AP329" s="293"/>
      <c r="AQ329" s="293"/>
      <c r="AR329" s="293"/>
    </row>
    <row r="330" spans="3:45" x14ac:dyDescent="0.2">
      <c r="C330" s="100"/>
      <c r="D330" s="100"/>
      <c r="E330" s="100"/>
      <c r="F330" s="100"/>
      <c r="G330" s="100"/>
      <c r="H330" s="101"/>
      <c r="I330" s="100"/>
      <c r="J330" s="100"/>
      <c r="K330" s="100"/>
      <c r="L330" s="100"/>
      <c r="M330" s="101"/>
      <c r="N330" s="100"/>
      <c r="O330" s="100"/>
      <c r="P330" s="100"/>
      <c r="Q330" s="100"/>
      <c r="R330" s="100"/>
      <c r="S330" s="100"/>
      <c r="T330" s="100"/>
      <c r="U330" s="100"/>
      <c r="V330" s="100"/>
      <c r="W330" s="100"/>
      <c r="X330" s="100"/>
      <c r="Y330" s="100"/>
      <c r="Z330" s="100"/>
      <c r="AA330" s="100"/>
      <c r="AB330" s="293"/>
      <c r="AC330" s="293"/>
      <c r="AD330" s="293"/>
      <c r="AE330" s="293"/>
      <c r="AF330" s="293"/>
      <c r="AG330" s="293"/>
      <c r="AH330" s="293"/>
      <c r="AI330" s="293"/>
      <c r="AJ330" s="293"/>
      <c r="AK330" s="293"/>
      <c r="AL330" s="293"/>
      <c r="AM330" s="293"/>
      <c r="AN330" s="293"/>
      <c r="AO330" s="293"/>
      <c r="AP330" s="293"/>
      <c r="AQ330" s="293"/>
      <c r="AR330" s="293"/>
    </row>
    <row r="331" spans="3:45" x14ac:dyDescent="0.2">
      <c r="C331" s="100"/>
      <c r="D331" s="100"/>
      <c r="E331" s="100"/>
      <c r="F331" s="100"/>
      <c r="G331" s="100"/>
      <c r="H331" s="101"/>
      <c r="I331" s="100"/>
      <c r="J331" s="100"/>
      <c r="K331" s="100"/>
      <c r="L331" s="100"/>
      <c r="M331" s="101"/>
      <c r="N331" s="100"/>
      <c r="O331" s="100"/>
      <c r="P331" s="100"/>
      <c r="Q331" s="100"/>
      <c r="R331" s="100"/>
      <c r="S331" s="100"/>
      <c r="T331" s="100"/>
      <c r="U331" s="100"/>
      <c r="V331" s="100"/>
      <c r="W331" s="100"/>
      <c r="X331" s="100"/>
      <c r="Y331" s="100"/>
      <c r="Z331" s="100"/>
      <c r="AA331" s="100"/>
      <c r="AB331" s="293"/>
      <c r="AC331" s="293"/>
      <c r="AD331" s="293"/>
      <c r="AE331" s="293"/>
      <c r="AF331" s="293"/>
      <c r="AG331" s="293"/>
      <c r="AH331" s="293"/>
      <c r="AI331" s="293"/>
      <c r="AJ331" s="293"/>
      <c r="AK331" s="293"/>
      <c r="AL331" s="293"/>
      <c r="AM331" s="293"/>
      <c r="AN331" s="293"/>
      <c r="AO331" s="293"/>
      <c r="AP331" s="293"/>
      <c r="AQ331" s="293"/>
      <c r="AR331" s="293"/>
    </row>
    <row r="332" spans="3:45" x14ac:dyDescent="0.2">
      <c r="C332" s="100"/>
      <c r="D332" s="100"/>
      <c r="E332" s="100"/>
      <c r="F332" s="100"/>
      <c r="G332" s="100"/>
      <c r="H332" s="101"/>
      <c r="I332" s="100"/>
      <c r="J332" s="100"/>
      <c r="K332" s="100"/>
      <c r="L332" s="100"/>
      <c r="M332" s="101"/>
      <c r="N332" s="100"/>
      <c r="O332" s="100"/>
      <c r="P332" s="100"/>
      <c r="Q332" s="100"/>
      <c r="R332" s="100"/>
      <c r="S332" s="100"/>
      <c r="T332" s="100"/>
      <c r="U332" s="100"/>
      <c r="V332" s="100"/>
      <c r="W332" s="100"/>
      <c r="X332" s="100"/>
      <c r="Y332" s="100"/>
      <c r="Z332" s="100"/>
      <c r="AA332" s="100"/>
      <c r="AB332" s="293"/>
      <c r="AC332" s="293"/>
      <c r="AD332" s="293"/>
      <c r="AE332" s="293"/>
      <c r="AF332" s="293"/>
      <c r="AG332" s="293"/>
      <c r="AH332" s="293"/>
      <c r="AI332" s="293"/>
      <c r="AJ332" s="293"/>
      <c r="AK332" s="293"/>
      <c r="AL332" s="293"/>
      <c r="AM332" s="293"/>
      <c r="AN332" s="293"/>
      <c r="AO332" s="293"/>
      <c r="AP332" s="293"/>
      <c r="AQ332" s="293"/>
      <c r="AR332" s="293"/>
    </row>
    <row r="333" spans="3:45" x14ac:dyDescent="0.2">
      <c r="C333" s="100"/>
      <c r="D333" s="100"/>
      <c r="E333" s="100"/>
      <c r="F333" s="100"/>
      <c r="G333" s="100"/>
      <c r="H333" s="101"/>
      <c r="I333" s="100"/>
      <c r="J333" s="100"/>
      <c r="K333" s="100"/>
      <c r="L333" s="100"/>
      <c r="M333" s="101"/>
      <c r="N333" s="100"/>
      <c r="O333" s="100"/>
      <c r="P333" s="100"/>
      <c r="Q333" s="100"/>
      <c r="R333" s="100"/>
      <c r="S333" s="100"/>
      <c r="T333" s="100"/>
      <c r="U333" s="100"/>
      <c r="V333" s="100"/>
      <c r="W333" s="100"/>
      <c r="X333" s="100"/>
      <c r="Y333" s="100"/>
      <c r="Z333" s="100"/>
      <c r="AA333" s="100"/>
      <c r="AB333" s="293"/>
      <c r="AC333" s="293"/>
      <c r="AD333" s="293"/>
      <c r="AE333" s="293"/>
      <c r="AF333" s="293"/>
      <c r="AG333" s="293"/>
      <c r="AH333" s="293"/>
      <c r="AI333" s="293"/>
      <c r="AJ333" s="293"/>
      <c r="AK333" s="293"/>
      <c r="AL333" s="293"/>
      <c r="AM333" s="293"/>
      <c r="AN333" s="293"/>
      <c r="AO333" s="293"/>
      <c r="AP333" s="293"/>
      <c r="AQ333" s="293"/>
      <c r="AR333" s="293"/>
    </row>
    <row r="334" spans="3:45" x14ac:dyDescent="0.2">
      <c r="C334" s="100"/>
      <c r="D334" s="100"/>
      <c r="E334" s="100"/>
      <c r="F334" s="100"/>
      <c r="G334" s="100"/>
      <c r="H334" s="101"/>
      <c r="I334" s="100"/>
      <c r="J334" s="100"/>
      <c r="K334" s="100"/>
      <c r="L334" s="100"/>
      <c r="M334" s="101"/>
      <c r="N334" s="100"/>
      <c r="O334" s="100"/>
      <c r="P334" s="100"/>
      <c r="Q334" s="100"/>
      <c r="R334" s="100"/>
      <c r="S334" s="100"/>
      <c r="T334" s="100"/>
      <c r="U334" s="100"/>
      <c r="V334" s="100"/>
      <c r="W334" s="100"/>
      <c r="X334" s="100"/>
      <c r="Y334" s="100"/>
      <c r="Z334" s="100"/>
      <c r="AA334" s="100"/>
      <c r="AB334" s="293"/>
      <c r="AC334" s="293"/>
      <c r="AD334" s="293"/>
      <c r="AE334" s="293"/>
      <c r="AF334" s="293"/>
      <c r="AG334" s="293"/>
      <c r="AH334" s="293"/>
      <c r="AI334" s="293"/>
      <c r="AJ334" s="293"/>
      <c r="AK334" s="293"/>
      <c r="AL334" s="293"/>
      <c r="AM334" s="293"/>
      <c r="AN334" s="293"/>
      <c r="AO334" s="293"/>
      <c r="AP334" s="293"/>
      <c r="AQ334" s="293"/>
      <c r="AR334" s="293"/>
    </row>
    <row r="335" spans="3:45" x14ac:dyDescent="0.2">
      <c r="C335" s="100"/>
      <c r="D335" s="100"/>
      <c r="E335" s="100"/>
      <c r="F335" s="100"/>
      <c r="G335" s="100"/>
      <c r="H335" s="101"/>
      <c r="I335" s="100"/>
      <c r="J335" s="100"/>
      <c r="K335" s="100"/>
      <c r="L335" s="100"/>
      <c r="M335" s="101"/>
      <c r="N335" s="100"/>
      <c r="O335" s="100"/>
      <c r="P335" s="100"/>
      <c r="Q335" s="100"/>
      <c r="R335" s="100"/>
      <c r="S335" s="100"/>
      <c r="T335" s="100"/>
      <c r="U335" s="100"/>
      <c r="V335" s="100"/>
      <c r="W335" s="100"/>
      <c r="X335" s="100"/>
      <c r="Y335" s="100"/>
      <c r="Z335" s="100"/>
      <c r="AA335" s="100"/>
      <c r="AB335" s="293"/>
      <c r="AC335" s="293"/>
      <c r="AD335" s="293"/>
      <c r="AE335" s="293"/>
      <c r="AF335" s="293"/>
      <c r="AG335" s="293"/>
      <c r="AH335" s="293"/>
      <c r="AI335" s="293"/>
      <c r="AJ335" s="293"/>
      <c r="AK335" s="293"/>
      <c r="AL335" s="293"/>
      <c r="AM335" s="293"/>
      <c r="AN335" s="293"/>
      <c r="AO335" s="293"/>
      <c r="AP335" s="293"/>
      <c r="AQ335" s="293"/>
      <c r="AR335" s="293"/>
    </row>
    <row r="336" spans="3:45" x14ac:dyDescent="0.2">
      <c r="C336" s="100"/>
      <c r="D336" s="100"/>
      <c r="E336" s="100"/>
      <c r="F336" s="100"/>
      <c r="G336" s="100"/>
      <c r="H336" s="101"/>
      <c r="I336" s="100"/>
      <c r="J336" s="100"/>
      <c r="K336" s="100"/>
      <c r="L336" s="100"/>
      <c r="M336" s="101"/>
      <c r="N336" s="100"/>
      <c r="O336" s="100"/>
      <c r="P336" s="100"/>
      <c r="Q336" s="100"/>
      <c r="R336" s="100"/>
      <c r="S336" s="100"/>
      <c r="T336" s="100"/>
      <c r="U336" s="100"/>
      <c r="V336" s="100"/>
      <c r="W336" s="100"/>
      <c r="X336" s="100"/>
      <c r="Y336" s="100"/>
      <c r="Z336" s="100"/>
      <c r="AA336" s="100"/>
      <c r="AB336" s="293"/>
      <c r="AC336" s="293"/>
      <c r="AD336" s="293"/>
      <c r="AE336" s="293"/>
      <c r="AF336" s="293"/>
      <c r="AG336" s="293"/>
      <c r="AH336" s="293"/>
      <c r="AI336" s="293"/>
      <c r="AJ336" s="293"/>
      <c r="AK336" s="293"/>
      <c r="AL336" s="293"/>
      <c r="AM336" s="293"/>
      <c r="AN336" s="293"/>
      <c r="AO336" s="293"/>
      <c r="AP336" s="293"/>
      <c r="AQ336" s="293"/>
      <c r="AR336" s="293"/>
    </row>
    <row r="337" spans="3:44" x14ac:dyDescent="0.2">
      <c r="C337" s="100"/>
      <c r="D337" s="100"/>
      <c r="E337" s="100"/>
      <c r="F337" s="100"/>
      <c r="G337" s="100"/>
      <c r="H337" s="101"/>
      <c r="I337" s="100"/>
      <c r="J337" s="100"/>
      <c r="K337" s="100"/>
      <c r="L337" s="100"/>
      <c r="M337" s="101"/>
      <c r="N337" s="100"/>
      <c r="O337" s="100"/>
      <c r="P337" s="100"/>
      <c r="Q337" s="100"/>
      <c r="R337" s="100"/>
      <c r="S337" s="100"/>
      <c r="T337" s="100"/>
      <c r="U337" s="100"/>
      <c r="V337" s="100"/>
      <c r="W337" s="100"/>
      <c r="X337" s="100"/>
      <c r="Y337" s="100"/>
      <c r="Z337" s="100"/>
      <c r="AA337" s="100"/>
      <c r="AB337" s="293"/>
      <c r="AC337" s="293"/>
      <c r="AD337" s="293"/>
      <c r="AE337" s="293"/>
      <c r="AF337" s="293"/>
      <c r="AG337" s="293"/>
      <c r="AH337" s="293"/>
      <c r="AI337" s="293"/>
      <c r="AJ337" s="293"/>
      <c r="AK337" s="293"/>
      <c r="AL337" s="293"/>
      <c r="AM337" s="293"/>
      <c r="AN337" s="293"/>
      <c r="AO337" s="293"/>
      <c r="AP337" s="293"/>
      <c r="AQ337" s="293"/>
      <c r="AR337" s="293"/>
    </row>
    <row r="338" spans="3:44" x14ac:dyDescent="0.2">
      <c r="C338" s="100"/>
      <c r="D338" s="100"/>
      <c r="E338" s="100"/>
      <c r="F338" s="100"/>
      <c r="G338" s="100"/>
      <c r="H338" s="101"/>
      <c r="I338" s="100"/>
      <c r="J338" s="100"/>
      <c r="K338" s="100"/>
      <c r="L338" s="100"/>
      <c r="M338" s="101"/>
      <c r="N338" s="100"/>
      <c r="O338" s="100"/>
      <c r="P338" s="100"/>
      <c r="Q338" s="100"/>
      <c r="R338" s="100"/>
      <c r="S338" s="100"/>
      <c r="T338" s="100"/>
      <c r="U338" s="100"/>
      <c r="V338" s="100"/>
      <c r="W338" s="100"/>
      <c r="X338" s="100"/>
      <c r="Y338" s="100"/>
      <c r="Z338" s="100"/>
      <c r="AA338" s="100"/>
      <c r="AB338" s="293"/>
      <c r="AC338" s="293"/>
      <c r="AD338" s="293"/>
      <c r="AE338" s="293"/>
      <c r="AF338" s="293"/>
      <c r="AG338" s="293"/>
      <c r="AH338" s="293"/>
      <c r="AI338" s="293"/>
      <c r="AJ338" s="293"/>
      <c r="AK338" s="293"/>
      <c r="AL338" s="293"/>
      <c r="AM338" s="293"/>
      <c r="AN338" s="293"/>
      <c r="AO338" s="293"/>
      <c r="AP338" s="293"/>
      <c r="AQ338" s="293"/>
      <c r="AR338" s="293"/>
    </row>
    <row r="339" spans="3:44" x14ac:dyDescent="0.2">
      <c r="C339" s="100"/>
      <c r="D339" s="100"/>
      <c r="E339" s="100"/>
      <c r="F339" s="100"/>
      <c r="G339" s="100"/>
      <c r="H339" s="101"/>
      <c r="I339" s="100"/>
      <c r="J339" s="100"/>
      <c r="K339" s="100"/>
      <c r="L339" s="100"/>
      <c r="M339" s="101"/>
      <c r="N339" s="100"/>
      <c r="O339" s="100"/>
      <c r="P339" s="100"/>
      <c r="Q339" s="100"/>
      <c r="R339" s="100"/>
      <c r="S339" s="100"/>
      <c r="T339" s="100"/>
      <c r="U339" s="100"/>
      <c r="V339" s="100"/>
      <c r="W339" s="100"/>
      <c r="X339" s="100"/>
      <c r="Y339" s="100"/>
      <c r="Z339" s="100"/>
      <c r="AA339" s="100"/>
      <c r="AB339" s="293"/>
      <c r="AC339" s="293"/>
      <c r="AD339" s="293"/>
      <c r="AE339" s="293"/>
      <c r="AF339" s="293"/>
      <c r="AG339" s="293"/>
      <c r="AH339" s="293"/>
      <c r="AI339" s="293"/>
      <c r="AJ339" s="293"/>
      <c r="AK339" s="293"/>
      <c r="AL339" s="293"/>
      <c r="AM339" s="293"/>
      <c r="AN339" s="293"/>
      <c r="AO339" s="293"/>
      <c r="AP339" s="293"/>
      <c r="AQ339" s="293"/>
      <c r="AR339" s="293"/>
    </row>
    <row r="340" spans="3:44" x14ac:dyDescent="0.2">
      <c r="C340" s="100"/>
      <c r="D340" s="100"/>
      <c r="E340" s="100"/>
      <c r="F340" s="100"/>
      <c r="G340" s="100"/>
      <c r="H340" s="101"/>
      <c r="I340" s="100"/>
      <c r="J340" s="100"/>
      <c r="K340" s="100"/>
      <c r="L340" s="100"/>
      <c r="M340" s="101"/>
      <c r="N340" s="100"/>
      <c r="O340" s="100"/>
      <c r="P340" s="100"/>
      <c r="Q340" s="100"/>
      <c r="R340" s="100"/>
      <c r="S340" s="100"/>
      <c r="T340" s="100"/>
      <c r="U340" s="100"/>
      <c r="V340" s="100"/>
      <c r="W340" s="100"/>
      <c r="X340" s="100"/>
      <c r="Y340" s="100"/>
      <c r="Z340" s="100"/>
      <c r="AA340" s="100"/>
      <c r="AB340" s="293"/>
      <c r="AC340" s="293"/>
      <c r="AD340" s="293"/>
      <c r="AE340" s="293"/>
      <c r="AF340" s="293"/>
      <c r="AG340" s="293"/>
      <c r="AH340" s="293"/>
      <c r="AI340" s="293"/>
      <c r="AJ340" s="293"/>
      <c r="AK340" s="293"/>
      <c r="AL340" s="293"/>
      <c r="AM340" s="293"/>
      <c r="AN340" s="293"/>
      <c r="AO340" s="293"/>
      <c r="AP340" s="293"/>
      <c r="AQ340" s="293"/>
      <c r="AR340" s="293"/>
    </row>
    <row r="341" spans="3:44" x14ac:dyDescent="0.2">
      <c r="C341" s="100"/>
      <c r="D341" s="100"/>
      <c r="E341" s="100"/>
      <c r="F341" s="100"/>
      <c r="G341" s="100"/>
      <c r="H341" s="101"/>
      <c r="I341" s="100"/>
      <c r="J341" s="100"/>
      <c r="K341" s="100"/>
      <c r="L341" s="100"/>
      <c r="M341" s="101"/>
      <c r="N341" s="100"/>
      <c r="O341" s="100"/>
      <c r="P341" s="100"/>
      <c r="Q341" s="100"/>
      <c r="R341" s="100"/>
      <c r="S341" s="100"/>
      <c r="T341" s="100"/>
      <c r="U341" s="100"/>
      <c r="V341" s="100"/>
      <c r="W341" s="100"/>
      <c r="X341" s="100"/>
      <c r="Y341" s="100"/>
      <c r="Z341" s="100"/>
      <c r="AA341" s="100"/>
      <c r="AB341" s="293"/>
      <c r="AC341" s="293"/>
      <c r="AD341" s="293"/>
      <c r="AE341" s="293"/>
      <c r="AF341" s="293"/>
      <c r="AG341" s="293"/>
      <c r="AH341" s="293"/>
      <c r="AI341" s="293"/>
      <c r="AJ341" s="293"/>
      <c r="AK341" s="293"/>
      <c r="AL341" s="293"/>
      <c r="AM341" s="293"/>
      <c r="AN341" s="293"/>
      <c r="AO341" s="293"/>
      <c r="AP341" s="293"/>
      <c r="AQ341" s="293"/>
      <c r="AR341" s="293"/>
    </row>
    <row r="342" spans="3:44" x14ac:dyDescent="0.2">
      <c r="C342" s="100"/>
      <c r="D342" s="100"/>
      <c r="E342" s="100"/>
      <c r="F342" s="100"/>
      <c r="G342" s="100"/>
      <c r="H342" s="101"/>
      <c r="I342" s="100"/>
      <c r="J342" s="100"/>
      <c r="K342" s="100"/>
      <c r="L342" s="100"/>
      <c r="M342" s="101"/>
      <c r="N342" s="100"/>
      <c r="O342" s="100"/>
      <c r="P342" s="100"/>
      <c r="Q342" s="100"/>
      <c r="R342" s="100"/>
      <c r="S342" s="100"/>
      <c r="T342" s="100"/>
      <c r="U342" s="100"/>
      <c r="V342" s="100"/>
      <c r="W342" s="100"/>
      <c r="X342" s="100"/>
      <c r="Y342" s="100"/>
      <c r="Z342" s="100"/>
      <c r="AA342" s="100"/>
      <c r="AB342" s="293"/>
      <c r="AC342" s="293"/>
      <c r="AD342" s="293"/>
      <c r="AE342" s="293"/>
      <c r="AF342" s="293"/>
      <c r="AG342" s="293"/>
      <c r="AH342" s="293"/>
      <c r="AI342" s="293"/>
      <c r="AJ342" s="293"/>
      <c r="AK342" s="293"/>
      <c r="AL342" s="293"/>
      <c r="AM342" s="293"/>
      <c r="AN342" s="293"/>
      <c r="AO342" s="293"/>
      <c r="AP342" s="293"/>
      <c r="AQ342" s="293"/>
      <c r="AR342" s="293"/>
    </row>
    <row r="343" spans="3:44" x14ac:dyDescent="0.2">
      <c r="C343" s="100"/>
      <c r="D343" s="100"/>
      <c r="E343" s="100"/>
      <c r="F343" s="100"/>
      <c r="G343" s="100"/>
      <c r="H343" s="101"/>
      <c r="I343" s="100"/>
      <c r="J343" s="100"/>
      <c r="K343" s="100"/>
      <c r="L343" s="100"/>
      <c r="M343" s="101"/>
      <c r="N343" s="100"/>
      <c r="O343" s="100"/>
      <c r="P343" s="100"/>
      <c r="Q343" s="100"/>
      <c r="R343" s="100"/>
      <c r="S343" s="100"/>
      <c r="T343" s="100"/>
      <c r="U343" s="100"/>
      <c r="V343" s="100"/>
      <c r="W343" s="100"/>
      <c r="X343" s="100"/>
      <c r="Y343" s="100"/>
      <c r="Z343" s="100"/>
      <c r="AA343" s="100"/>
      <c r="AB343" s="293"/>
      <c r="AC343" s="293"/>
      <c r="AD343" s="293"/>
      <c r="AE343" s="293"/>
      <c r="AF343" s="293"/>
      <c r="AG343" s="293"/>
      <c r="AH343" s="293"/>
      <c r="AI343" s="293"/>
      <c r="AJ343" s="293"/>
      <c r="AK343" s="293"/>
      <c r="AL343" s="293"/>
      <c r="AM343" s="293"/>
      <c r="AN343" s="293"/>
      <c r="AO343" s="293"/>
      <c r="AP343" s="293"/>
      <c r="AQ343" s="293"/>
      <c r="AR343" s="293"/>
    </row>
    <row r="344" spans="3:44" x14ac:dyDescent="0.2">
      <c r="C344" s="100"/>
      <c r="D344" s="100"/>
      <c r="E344" s="100"/>
      <c r="F344" s="100"/>
      <c r="G344" s="100"/>
      <c r="H344" s="101"/>
      <c r="I344" s="100"/>
      <c r="J344" s="100"/>
      <c r="K344" s="100"/>
      <c r="L344" s="100"/>
      <c r="M344" s="101"/>
      <c r="N344" s="100"/>
      <c r="O344" s="100"/>
      <c r="P344" s="100"/>
      <c r="Q344" s="100"/>
      <c r="R344" s="100"/>
      <c r="S344" s="100"/>
      <c r="T344" s="100"/>
      <c r="U344" s="100"/>
      <c r="V344" s="100"/>
      <c r="W344" s="100"/>
      <c r="X344" s="100"/>
      <c r="Y344" s="100"/>
      <c r="Z344" s="100"/>
      <c r="AA344" s="100"/>
      <c r="AB344" s="293"/>
      <c r="AC344" s="293"/>
      <c r="AD344" s="293"/>
      <c r="AE344" s="293"/>
      <c r="AF344" s="293"/>
      <c r="AG344" s="293"/>
      <c r="AH344" s="293"/>
      <c r="AI344" s="293"/>
      <c r="AJ344" s="293"/>
      <c r="AK344" s="293"/>
      <c r="AL344" s="293"/>
      <c r="AM344" s="293"/>
      <c r="AN344" s="293"/>
      <c r="AO344" s="293"/>
      <c r="AP344" s="293"/>
      <c r="AQ344" s="293"/>
      <c r="AR344" s="293"/>
    </row>
    <row r="345" spans="3:44" x14ac:dyDescent="0.2">
      <c r="C345" s="100"/>
      <c r="D345" s="100"/>
      <c r="E345" s="100"/>
      <c r="F345" s="100"/>
      <c r="G345" s="100"/>
      <c r="H345" s="101"/>
      <c r="I345" s="100"/>
      <c r="J345" s="100"/>
      <c r="K345" s="100"/>
      <c r="L345" s="100"/>
      <c r="M345" s="101"/>
      <c r="N345" s="100"/>
      <c r="O345" s="100"/>
      <c r="P345" s="100"/>
      <c r="Q345" s="100"/>
      <c r="R345" s="100"/>
      <c r="S345" s="100"/>
      <c r="T345" s="100"/>
      <c r="U345" s="100"/>
      <c r="V345" s="100"/>
      <c r="W345" s="100"/>
      <c r="X345" s="100"/>
      <c r="Y345" s="100"/>
      <c r="Z345" s="100"/>
      <c r="AA345" s="100"/>
      <c r="AB345" s="293"/>
      <c r="AC345" s="293"/>
      <c r="AD345" s="293"/>
      <c r="AE345" s="293"/>
      <c r="AF345" s="293"/>
      <c r="AG345" s="293"/>
      <c r="AH345" s="293"/>
      <c r="AI345" s="293"/>
      <c r="AJ345" s="293"/>
      <c r="AK345" s="293"/>
      <c r="AL345" s="293"/>
      <c r="AM345" s="293"/>
      <c r="AN345" s="293"/>
      <c r="AO345" s="293"/>
      <c r="AP345" s="293"/>
      <c r="AQ345" s="293"/>
      <c r="AR345" s="293"/>
    </row>
    <row r="346" spans="3:44" x14ac:dyDescent="0.2">
      <c r="C346" s="100"/>
      <c r="D346" s="100"/>
      <c r="E346" s="100"/>
      <c r="F346" s="100"/>
      <c r="G346" s="100"/>
      <c r="H346" s="101"/>
      <c r="I346" s="100"/>
      <c r="J346" s="100"/>
      <c r="K346" s="100"/>
      <c r="L346" s="100"/>
      <c r="M346" s="101"/>
      <c r="N346" s="100"/>
      <c r="O346" s="100"/>
      <c r="P346" s="100"/>
      <c r="Q346" s="100"/>
      <c r="R346" s="100"/>
      <c r="S346" s="100"/>
      <c r="T346" s="100"/>
      <c r="U346" s="100"/>
      <c r="V346" s="100"/>
      <c r="W346" s="100"/>
      <c r="X346" s="100"/>
      <c r="Y346" s="100"/>
      <c r="Z346" s="100"/>
      <c r="AA346" s="100"/>
      <c r="AB346" s="293"/>
      <c r="AC346" s="293"/>
      <c r="AD346" s="293"/>
      <c r="AE346" s="293"/>
      <c r="AF346" s="293"/>
      <c r="AG346" s="293"/>
      <c r="AH346" s="293"/>
      <c r="AI346" s="293"/>
      <c r="AJ346" s="293"/>
      <c r="AK346" s="293"/>
      <c r="AL346" s="293"/>
      <c r="AM346" s="293"/>
      <c r="AN346" s="293"/>
      <c r="AO346" s="293"/>
      <c r="AP346" s="293"/>
      <c r="AQ346" s="293"/>
      <c r="AR346" s="293"/>
    </row>
    <row r="347" spans="3:44" x14ac:dyDescent="0.2">
      <c r="C347" s="100"/>
      <c r="D347" s="100"/>
      <c r="E347" s="100"/>
      <c r="F347" s="100"/>
      <c r="G347" s="100"/>
      <c r="H347" s="101"/>
      <c r="I347" s="100"/>
      <c r="J347" s="100"/>
      <c r="K347" s="100"/>
      <c r="L347" s="100"/>
      <c r="M347" s="101"/>
      <c r="N347" s="100"/>
      <c r="O347" s="100"/>
      <c r="P347" s="100"/>
      <c r="Q347" s="100"/>
      <c r="R347" s="100"/>
      <c r="S347" s="100"/>
      <c r="T347" s="100"/>
      <c r="U347" s="100"/>
      <c r="V347" s="100"/>
      <c r="W347" s="100"/>
      <c r="X347" s="100"/>
      <c r="Y347" s="100"/>
      <c r="Z347" s="100"/>
      <c r="AA347" s="100"/>
      <c r="AB347" s="293"/>
      <c r="AC347" s="293"/>
      <c r="AD347" s="293"/>
      <c r="AE347" s="293"/>
      <c r="AF347" s="293"/>
      <c r="AG347" s="293"/>
      <c r="AH347" s="293"/>
      <c r="AI347" s="293"/>
      <c r="AJ347" s="293"/>
      <c r="AK347" s="293"/>
      <c r="AL347" s="293"/>
      <c r="AM347" s="293"/>
      <c r="AN347" s="293"/>
      <c r="AO347" s="293"/>
      <c r="AP347" s="293"/>
      <c r="AQ347" s="293"/>
      <c r="AR347" s="293"/>
    </row>
    <row r="348" spans="3:44" x14ac:dyDescent="0.2">
      <c r="C348" s="100"/>
      <c r="D348" s="100"/>
      <c r="E348" s="100"/>
      <c r="F348" s="100"/>
      <c r="G348" s="100"/>
      <c r="H348" s="101"/>
      <c r="I348" s="100"/>
      <c r="J348" s="100"/>
      <c r="K348" s="100"/>
      <c r="L348" s="100"/>
      <c r="M348" s="101"/>
      <c r="N348" s="100"/>
      <c r="O348" s="100"/>
      <c r="P348" s="100"/>
      <c r="Q348" s="100"/>
      <c r="R348" s="100"/>
      <c r="S348" s="100"/>
      <c r="T348" s="100"/>
      <c r="U348" s="100"/>
      <c r="V348" s="100"/>
      <c r="W348" s="100"/>
      <c r="X348" s="100"/>
      <c r="Y348" s="100"/>
      <c r="Z348" s="100"/>
      <c r="AA348" s="100"/>
      <c r="AB348" s="293"/>
      <c r="AC348" s="293"/>
      <c r="AD348" s="293"/>
      <c r="AE348" s="293"/>
      <c r="AF348" s="293"/>
      <c r="AG348" s="293"/>
      <c r="AH348" s="293"/>
      <c r="AI348" s="293"/>
      <c r="AJ348" s="293"/>
      <c r="AK348" s="293"/>
      <c r="AL348" s="293"/>
      <c r="AM348" s="293"/>
      <c r="AN348" s="293"/>
      <c r="AO348" s="293"/>
      <c r="AP348" s="293"/>
      <c r="AQ348" s="293"/>
      <c r="AR348" s="293"/>
    </row>
    <row r="349" spans="3:44" x14ac:dyDescent="0.2">
      <c r="C349" s="100"/>
      <c r="D349" s="100"/>
      <c r="E349" s="100"/>
      <c r="F349" s="100"/>
      <c r="G349" s="100"/>
      <c r="H349" s="101"/>
      <c r="I349" s="100"/>
      <c r="J349" s="100"/>
      <c r="K349" s="100"/>
      <c r="L349" s="100"/>
      <c r="M349" s="101"/>
      <c r="N349" s="100"/>
      <c r="O349" s="100"/>
      <c r="P349" s="100"/>
      <c r="Q349" s="100"/>
      <c r="R349" s="100"/>
      <c r="S349" s="100"/>
      <c r="T349" s="100"/>
      <c r="U349" s="100"/>
      <c r="V349" s="100"/>
      <c r="W349" s="100"/>
      <c r="X349" s="100"/>
      <c r="Y349" s="100"/>
      <c r="Z349" s="100"/>
      <c r="AA349" s="100"/>
      <c r="AB349" s="293"/>
      <c r="AC349" s="293"/>
      <c r="AD349" s="293"/>
      <c r="AE349" s="293"/>
      <c r="AF349" s="293"/>
      <c r="AG349" s="293"/>
      <c r="AH349" s="293"/>
      <c r="AI349" s="293"/>
      <c r="AJ349" s="293"/>
      <c r="AK349" s="293"/>
      <c r="AL349" s="293"/>
      <c r="AM349" s="293"/>
      <c r="AN349" s="293"/>
      <c r="AO349" s="293"/>
      <c r="AP349" s="293"/>
      <c r="AQ349" s="293"/>
      <c r="AR349" s="293"/>
    </row>
    <row r="350" spans="3:44" x14ac:dyDescent="0.2">
      <c r="C350" s="100"/>
      <c r="D350" s="100"/>
      <c r="E350" s="100"/>
      <c r="F350" s="100"/>
      <c r="G350" s="100"/>
      <c r="H350" s="101"/>
      <c r="I350" s="100"/>
      <c r="J350" s="100"/>
      <c r="K350" s="100"/>
      <c r="L350" s="100"/>
      <c r="M350" s="101"/>
      <c r="N350" s="100"/>
      <c r="O350" s="100"/>
      <c r="P350" s="100"/>
      <c r="Q350" s="100"/>
      <c r="R350" s="100"/>
      <c r="S350" s="100"/>
      <c r="T350" s="100"/>
      <c r="U350" s="100"/>
      <c r="V350" s="100"/>
      <c r="W350" s="100"/>
      <c r="X350" s="100"/>
      <c r="Y350" s="100"/>
      <c r="Z350" s="100"/>
      <c r="AA350" s="100"/>
      <c r="AB350" s="293"/>
      <c r="AC350" s="293"/>
      <c r="AD350" s="293"/>
      <c r="AE350" s="293"/>
      <c r="AF350" s="293"/>
      <c r="AG350" s="293"/>
      <c r="AH350" s="293"/>
      <c r="AI350" s="293"/>
      <c r="AJ350" s="293"/>
      <c r="AK350" s="293"/>
      <c r="AL350" s="293"/>
      <c r="AM350" s="293"/>
      <c r="AN350" s="293"/>
      <c r="AO350" s="293"/>
      <c r="AP350" s="293"/>
      <c r="AQ350" s="293"/>
      <c r="AR350" s="293"/>
    </row>
    <row r="351" spans="3:44" x14ac:dyDescent="0.2">
      <c r="C351" s="100"/>
      <c r="D351" s="100"/>
      <c r="E351" s="100"/>
      <c r="F351" s="100"/>
      <c r="G351" s="100"/>
      <c r="H351" s="101"/>
      <c r="I351" s="100"/>
      <c r="J351" s="100"/>
      <c r="K351" s="100"/>
      <c r="L351" s="100"/>
      <c r="M351" s="101"/>
      <c r="N351" s="100"/>
      <c r="O351" s="100"/>
      <c r="P351" s="100"/>
      <c r="Q351" s="100"/>
      <c r="R351" s="100"/>
      <c r="S351" s="100"/>
      <c r="T351" s="100"/>
      <c r="U351" s="100"/>
      <c r="V351" s="100"/>
      <c r="W351" s="100"/>
      <c r="X351" s="100"/>
      <c r="Y351" s="100"/>
      <c r="Z351" s="100"/>
      <c r="AA351" s="100"/>
      <c r="AB351" s="293"/>
      <c r="AC351" s="293"/>
      <c r="AD351" s="293"/>
      <c r="AE351" s="293"/>
      <c r="AF351" s="293"/>
      <c r="AG351" s="293"/>
      <c r="AH351" s="293"/>
      <c r="AI351" s="293"/>
      <c r="AJ351" s="293"/>
      <c r="AK351" s="293"/>
      <c r="AL351" s="293"/>
      <c r="AM351" s="293"/>
      <c r="AN351" s="293"/>
      <c r="AO351" s="293"/>
      <c r="AP351" s="293"/>
      <c r="AQ351" s="293"/>
      <c r="AR351" s="293"/>
    </row>
    <row r="352" spans="3:44" x14ac:dyDescent="0.2">
      <c r="C352" s="100"/>
      <c r="D352" s="100"/>
      <c r="E352" s="100"/>
      <c r="F352" s="100"/>
      <c r="G352" s="100"/>
      <c r="H352" s="101"/>
      <c r="I352" s="100"/>
      <c r="J352" s="100"/>
      <c r="K352" s="100"/>
      <c r="L352" s="100"/>
      <c r="M352" s="101"/>
      <c r="N352" s="100"/>
      <c r="O352" s="100"/>
      <c r="P352" s="100"/>
      <c r="Q352" s="100"/>
      <c r="R352" s="100"/>
      <c r="S352" s="100"/>
      <c r="T352" s="100"/>
      <c r="U352" s="100"/>
      <c r="V352" s="100"/>
      <c r="W352" s="100"/>
      <c r="X352" s="100"/>
      <c r="Y352" s="100"/>
      <c r="Z352" s="100"/>
      <c r="AA352" s="100"/>
      <c r="AB352" s="293"/>
      <c r="AC352" s="293"/>
      <c r="AD352" s="293"/>
      <c r="AE352" s="293"/>
      <c r="AF352" s="293"/>
      <c r="AG352" s="293"/>
      <c r="AH352" s="293"/>
      <c r="AI352" s="293"/>
      <c r="AJ352" s="293"/>
      <c r="AK352" s="293"/>
      <c r="AL352" s="293"/>
      <c r="AM352" s="293"/>
      <c r="AN352" s="293"/>
      <c r="AO352" s="293"/>
      <c r="AP352" s="293"/>
      <c r="AQ352" s="293"/>
      <c r="AR352" s="293"/>
    </row>
    <row r="353" spans="3:44" x14ac:dyDescent="0.2">
      <c r="C353" s="100"/>
      <c r="D353" s="100"/>
      <c r="E353" s="100"/>
      <c r="F353" s="100"/>
      <c r="G353" s="100"/>
      <c r="H353" s="101"/>
      <c r="I353" s="100"/>
      <c r="J353" s="100"/>
      <c r="K353" s="100"/>
      <c r="L353" s="100"/>
      <c r="M353" s="101"/>
      <c r="N353" s="100"/>
      <c r="O353" s="100"/>
      <c r="P353" s="100"/>
      <c r="Q353" s="100"/>
      <c r="R353" s="100"/>
      <c r="S353" s="100"/>
      <c r="T353" s="100"/>
      <c r="U353" s="100"/>
      <c r="V353" s="100"/>
      <c r="W353" s="100"/>
      <c r="X353" s="100"/>
      <c r="Y353" s="100"/>
      <c r="Z353" s="100"/>
      <c r="AA353" s="100"/>
      <c r="AB353" s="293"/>
      <c r="AC353" s="293"/>
      <c r="AD353" s="293"/>
      <c r="AE353" s="293"/>
      <c r="AF353" s="293"/>
      <c r="AG353" s="293"/>
      <c r="AH353" s="293"/>
      <c r="AI353" s="293"/>
      <c r="AJ353" s="293"/>
      <c r="AK353" s="293"/>
      <c r="AL353" s="293"/>
      <c r="AM353" s="293"/>
      <c r="AN353" s="293"/>
      <c r="AO353" s="293"/>
      <c r="AP353" s="293"/>
      <c r="AQ353" s="293"/>
      <c r="AR353" s="293"/>
    </row>
    <row r="354" spans="3:44" x14ac:dyDescent="0.2">
      <c r="C354" s="100"/>
      <c r="D354" s="100"/>
      <c r="E354" s="100"/>
      <c r="F354" s="100"/>
      <c r="G354" s="100"/>
      <c r="H354" s="101"/>
      <c r="I354" s="100"/>
      <c r="J354" s="100"/>
      <c r="K354" s="100"/>
      <c r="L354" s="100"/>
      <c r="M354" s="101"/>
      <c r="N354" s="100"/>
      <c r="O354" s="100"/>
      <c r="P354" s="100"/>
      <c r="Q354" s="100"/>
      <c r="R354" s="100"/>
      <c r="S354" s="100"/>
      <c r="T354" s="100"/>
      <c r="U354" s="100"/>
      <c r="V354" s="100"/>
      <c r="W354" s="100"/>
      <c r="X354" s="100"/>
      <c r="Y354" s="100"/>
      <c r="Z354" s="100"/>
      <c r="AA354" s="100"/>
      <c r="AB354" s="293"/>
      <c r="AC354" s="293"/>
      <c r="AD354" s="293"/>
      <c r="AE354" s="293"/>
      <c r="AF354" s="293"/>
      <c r="AG354" s="293"/>
      <c r="AH354" s="293"/>
      <c r="AI354" s="293"/>
      <c r="AJ354" s="293"/>
      <c r="AK354" s="293"/>
      <c r="AL354" s="293"/>
      <c r="AM354" s="293"/>
      <c r="AN354" s="293"/>
      <c r="AO354" s="293"/>
      <c r="AP354" s="293"/>
      <c r="AQ354" s="293"/>
      <c r="AR354" s="293"/>
    </row>
    <row r="355" spans="3:44" x14ac:dyDescent="0.2">
      <c r="C355" s="100"/>
      <c r="D355" s="100"/>
      <c r="E355" s="100"/>
      <c r="F355" s="100"/>
      <c r="G355" s="100"/>
      <c r="H355" s="101"/>
      <c r="I355" s="100"/>
      <c r="J355" s="100"/>
      <c r="K355" s="100"/>
      <c r="L355" s="100"/>
      <c r="M355" s="101"/>
      <c r="N355" s="100"/>
      <c r="O355" s="100"/>
      <c r="P355" s="100"/>
      <c r="Q355" s="100"/>
      <c r="R355" s="100"/>
      <c r="S355" s="100"/>
      <c r="T355" s="100"/>
      <c r="U355" s="100"/>
      <c r="V355" s="100"/>
      <c r="W355" s="100"/>
      <c r="X355" s="100"/>
      <c r="Y355" s="100"/>
      <c r="Z355" s="100"/>
      <c r="AA355" s="100"/>
      <c r="AB355" s="293"/>
      <c r="AC355" s="293"/>
      <c r="AD355" s="293"/>
      <c r="AE355" s="293"/>
      <c r="AF355" s="293"/>
      <c r="AG355" s="293"/>
      <c r="AH355" s="293"/>
      <c r="AI355" s="293"/>
      <c r="AJ355" s="293"/>
      <c r="AK355" s="293"/>
      <c r="AL355" s="293"/>
      <c r="AM355" s="293"/>
      <c r="AN355" s="293"/>
      <c r="AO355" s="293"/>
      <c r="AP355" s="293"/>
      <c r="AQ355" s="293"/>
      <c r="AR355" s="293"/>
    </row>
    <row r="356" spans="3:44" x14ac:dyDescent="0.2">
      <c r="C356" s="100"/>
      <c r="D356" s="100"/>
      <c r="E356" s="100"/>
      <c r="F356" s="100"/>
      <c r="G356" s="100"/>
      <c r="H356" s="101"/>
      <c r="I356" s="100"/>
      <c r="J356" s="100"/>
      <c r="K356" s="100"/>
      <c r="L356" s="100"/>
      <c r="M356" s="101"/>
      <c r="N356" s="100"/>
      <c r="O356" s="100"/>
      <c r="P356" s="100"/>
      <c r="Q356" s="100"/>
      <c r="R356" s="100"/>
      <c r="S356" s="100"/>
      <c r="T356" s="100"/>
      <c r="U356" s="100"/>
      <c r="V356" s="100"/>
      <c r="W356" s="100"/>
      <c r="X356" s="100"/>
      <c r="Y356" s="100"/>
      <c r="Z356" s="100"/>
      <c r="AA356" s="100"/>
      <c r="AB356" s="293"/>
      <c r="AC356" s="293"/>
      <c r="AD356" s="293"/>
      <c r="AE356" s="293"/>
      <c r="AF356" s="293"/>
      <c r="AG356" s="293"/>
      <c r="AH356" s="293"/>
      <c r="AI356" s="293"/>
      <c r="AJ356" s="293"/>
      <c r="AK356" s="293"/>
      <c r="AL356" s="293"/>
      <c r="AM356" s="293"/>
      <c r="AN356" s="293"/>
      <c r="AO356" s="293"/>
      <c r="AP356" s="293"/>
      <c r="AQ356" s="293"/>
      <c r="AR356" s="293"/>
    </row>
    <row r="357" spans="3:44" x14ac:dyDescent="0.2">
      <c r="C357" s="100"/>
      <c r="D357" s="100"/>
      <c r="E357" s="100"/>
      <c r="F357" s="100"/>
      <c r="G357" s="100"/>
      <c r="H357" s="101"/>
      <c r="I357" s="100"/>
      <c r="J357" s="100"/>
      <c r="K357" s="100"/>
      <c r="L357" s="100"/>
      <c r="M357" s="101"/>
      <c r="N357" s="100"/>
      <c r="O357" s="100"/>
      <c r="P357" s="100"/>
      <c r="Q357" s="100"/>
      <c r="R357" s="100"/>
      <c r="S357" s="100"/>
      <c r="T357" s="100"/>
      <c r="U357" s="100"/>
      <c r="V357" s="100"/>
      <c r="W357" s="100"/>
      <c r="X357" s="100"/>
      <c r="Y357" s="100"/>
      <c r="Z357" s="100"/>
      <c r="AA357" s="100"/>
      <c r="AB357" s="293"/>
      <c r="AC357" s="293"/>
      <c r="AD357" s="293"/>
      <c r="AE357" s="293"/>
      <c r="AF357" s="293"/>
      <c r="AG357" s="293"/>
      <c r="AH357" s="293"/>
      <c r="AI357" s="293"/>
      <c r="AJ357" s="293"/>
      <c r="AK357" s="293"/>
      <c r="AL357" s="293"/>
      <c r="AM357" s="293"/>
      <c r="AN357" s="293"/>
      <c r="AO357" s="293"/>
      <c r="AP357" s="293"/>
      <c r="AQ357" s="293"/>
      <c r="AR357" s="293"/>
    </row>
    <row r="358" spans="3:44" x14ac:dyDescent="0.2">
      <c r="C358" s="100"/>
      <c r="D358" s="100"/>
      <c r="E358" s="100"/>
      <c r="F358" s="100"/>
      <c r="G358" s="100"/>
      <c r="H358" s="101"/>
      <c r="I358" s="100"/>
      <c r="J358" s="100"/>
      <c r="K358" s="100"/>
      <c r="L358" s="100"/>
      <c r="M358" s="101"/>
      <c r="N358" s="100"/>
      <c r="O358" s="100"/>
      <c r="P358" s="100"/>
      <c r="Q358" s="100"/>
      <c r="R358" s="100"/>
      <c r="S358" s="100"/>
      <c r="T358" s="100"/>
      <c r="U358" s="100"/>
      <c r="V358" s="100"/>
      <c r="W358" s="100"/>
      <c r="X358" s="100"/>
      <c r="Y358" s="100"/>
      <c r="Z358" s="100"/>
      <c r="AA358" s="100"/>
      <c r="AB358" s="293"/>
      <c r="AC358" s="293"/>
      <c r="AD358" s="293"/>
      <c r="AE358" s="293"/>
      <c r="AF358" s="293"/>
      <c r="AG358" s="293"/>
      <c r="AH358" s="293"/>
      <c r="AI358" s="293"/>
      <c r="AJ358" s="293"/>
      <c r="AK358" s="293"/>
      <c r="AL358" s="293"/>
      <c r="AM358" s="293"/>
      <c r="AN358" s="293"/>
      <c r="AO358" s="293"/>
      <c r="AP358" s="293"/>
      <c r="AQ358" s="293"/>
      <c r="AR358" s="293"/>
    </row>
    <row r="359" spans="3:44" x14ac:dyDescent="0.2">
      <c r="C359" s="100"/>
      <c r="D359" s="100"/>
      <c r="E359" s="100"/>
      <c r="F359" s="100"/>
      <c r="G359" s="100"/>
      <c r="H359" s="101"/>
      <c r="I359" s="100"/>
      <c r="J359" s="100"/>
      <c r="K359" s="100"/>
      <c r="L359" s="100"/>
      <c r="M359" s="101"/>
      <c r="N359" s="100"/>
      <c r="O359" s="100"/>
      <c r="P359" s="100"/>
      <c r="Q359" s="100"/>
      <c r="R359" s="100"/>
      <c r="S359" s="100"/>
      <c r="T359" s="100"/>
      <c r="U359" s="100"/>
      <c r="V359" s="100"/>
      <c r="W359" s="100"/>
      <c r="X359" s="100"/>
      <c r="Y359" s="100"/>
      <c r="Z359" s="100"/>
      <c r="AA359" s="100"/>
      <c r="AB359" s="293"/>
      <c r="AC359" s="293"/>
      <c r="AD359" s="293"/>
      <c r="AE359" s="293"/>
      <c r="AF359" s="293"/>
      <c r="AG359" s="293"/>
      <c r="AH359" s="293"/>
      <c r="AI359" s="293"/>
      <c r="AJ359" s="293"/>
      <c r="AK359" s="293"/>
      <c r="AL359" s="293"/>
      <c r="AM359" s="293"/>
      <c r="AN359" s="293"/>
      <c r="AO359" s="293"/>
      <c r="AP359" s="293"/>
      <c r="AQ359" s="293"/>
      <c r="AR359" s="293"/>
    </row>
    <row r="360" spans="3:44" x14ac:dyDescent="0.2">
      <c r="C360" s="100"/>
      <c r="D360" s="100"/>
      <c r="E360" s="100"/>
      <c r="F360" s="100"/>
      <c r="G360" s="100"/>
      <c r="H360" s="101"/>
      <c r="I360" s="100"/>
      <c r="J360" s="100"/>
      <c r="K360" s="100"/>
      <c r="L360" s="100"/>
      <c r="M360" s="101"/>
      <c r="N360" s="100"/>
      <c r="O360" s="100"/>
      <c r="P360" s="100"/>
      <c r="Q360" s="100"/>
      <c r="R360" s="100"/>
      <c r="S360" s="100"/>
      <c r="T360" s="100"/>
      <c r="U360" s="100"/>
      <c r="V360" s="100"/>
      <c r="W360" s="100"/>
      <c r="X360" s="100"/>
      <c r="Y360" s="100"/>
      <c r="Z360" s="100"/>
      <c r="AA360" s="100"/>
      <c r="AB360" s="293"/>
      <c r="AC360" s="293"/>
      <c r="AD360" s="293"/>
      <c r="AE360" s="293"/>
      <c r="AF360" s="293"/>
      <c r="AG360" s="293"/>
      <c r="AH360" s="293"/>
      <c r="AI360" s="293"/>
      <c r="AJ360" s="293"/>
      <c r="AK360" s="293"/>
      <c r="AL360" s="293"/>
      <c r="AM360" s="293"/>
      <c r="AN360" s="293"/>
      <c r="AO360" s="293"/>
      <c r="AP360" s="293"/>
      <c r="AQ360" s="293"/>
      <c r="AR360" s="293"/>
    </row>
    <row r="361" spans="3:44" x14ac:dyDescent="0.2">
      <c r="C361" s="100"/>
      <c r="D361" s="100"/>
      <c r="E361" s="100"/>
      <c r="F361" s="100"/>
      <c r="G361" s="100"/>
      <c r="H361" s="101"/>
      <c r="I361" s="100"/>
      <c r="J361" s="100"/>
      <c r="K361" s="100"/>
      <c r="L361" s="100"/>
      <c r="M361" s="101"/>
      <c r="N361" s="100"/>
      <c r="O361" s="100"/>
      <c r="P361" s="100"/>
      <c r="Q361" s="100"/>
      <c r="R361" s="100"/>
      <c r="S361" s="100"/>
      <c r="T361" s="100"/>
      <c r="U361" s="100"/>
      <c r="V361" s="100"/>
      <c r="W361" s="100"/>
      <c r="X361" s="100"/>
      <c r="Y361" s="100"/>
      <c r="Z361" s="100"/>
      <c r="AA361" s="100"/>
      <c r="AB361" s="293"/>
      <c r="AC361" s="293"/>
      <c r="AD361" s="293"/>
      <c r="AE361" s="293"/>
      <c r="AF361" s="293"/>
      <c r="AG361" s="293"/>
      <c r="AH361" s="293"/>
      <c r="AI361" s="293"/>
      <c r="AJ361" s="293"/>
      <c r="AK361" s="293"/>
      <c r="AL361" s="293"/>
      <c r="AM361" s="293"/>
      <c r="AN361" s="293"/>
      <c r="AO361" s="293"/>
      <c r="AP361" s="293"/>
      <c r="AQ361" s="293"/>
      <c r="AR361" s="293"/>
    </row>
    <row r="362" spans="3:44" x14ac:dyDescent="0.2">
      <c r="C362" s="100"/>
      <c r="D362" s="100"/>
      <c r="E362" s="100"/>
      <c r="F362" s="100"/>
      <c r="G362" s="100"/>
      <c r="H362" s="101"/>
      <c r="I362" s="100"/>
      <c r="J362" s="100"/>
      <c r="K362" s="100"/>
      <c r="L362" s="100"/>
      <c r="M362" s="101"/>
      <c r="N362" s="100"/>
      <c r="O362" s="100"/>
      <c r="P362" s="100"/>
      <c r="Q362" s="100"/>
      <c r="R362" s="100"/>
      <c r="S362" s="100"/>
      <c r="T362" s="100"/>
      <c r="U362" s="100"/>
      <c r="V362" s="100"/>
      <c r="W362" s="100"/>
      <c r="X362" s="100"/>
      <c r="Y362" s="100"/>
      <c r="Z362" s="100"/>
      <c r="AA362" s="100"/>
      <c r="AB362" s="293"/>
      <c r="AC362" s="293"/>
      <c r="AD362" s="293"/>
      <c r="AE362" s="293"/>
      <c r="AF362" s="293"/>
      <c r="AG362" s="293"/>
      <c r="AH362" s="293"/>
      <c r="AI362" s="293"/>
      <c r="AJ362" s="293"/>
      <c r="AK362" s="293"/>
      <c r="AL362" s="293"/>
      <c r="AM362" s="293"/>
      <c r="AN362" s="293"/>
      <c r="AO362" s="293"/>
      <c r="AP362" s="293"/>
      <c r="AQ362" s="293"/>
      <c r="AR362" s="293"/>
    </row>
    <row r="363" spans="3:44" x14ac:dyDescent="0.2">
      <c r="C363" s="100"/>
      <c r="D363" s="100"/>
      <c r="E363" s="100"/>
      <c r="F363" s="100"/>
      <c r="G363" s="100"/>
      <c r="H363" s="101"/>
      <c r="I363" s="100"/>
      <c r="J363" s="100"/>
      <c r="K363" s="100"/>
      <c r="L363" s="100"/>
      <c r="M363" s="101"/>
      <c r="N363" s="100"/>
      <c r="O363" s="100"/>
      <c r="P363" s="100"/>
      <c r="Q363" s="100"/>
      <c r="R363" s="100"/>
      <c r="S363" s="100"/>
      <c r="T363" s="100"/>
      <c r="U363" s="100"/>
      <c r="V363" s="100"/>
      <c r="W363" s="100"/>
      <c r="X363" s="100"/>
      <c r="Y363" s="100"/>
      <c r="Z363" s="100"/>
      <c r="AA363" s="100"/>
      <c r="AB363" s="293"/>
      <c r="AC363" s="293"/>
      <c r="AD363" s="293"/>
      <c r="AE363" s="293"/>
      <c r="AF363" s="293"/>
      <c r="AG363" s="293"/>
      <c r="AH363" s="293"/>
      <c r="AI363" s="293"/>
      <c r="AJ363" s="293"/>
      <c r="AK363" s="293"/>
      <c r="AL363" s="293"/>
      <c r="AM363" s="293"/>
      <c r="AN363" s="293"/>
      <c r="AO363" s="293"/>
      <c r="AP363" s="293"/>
      <c r="AQ363" s="293"/>
      <c r="AR363" s="293"/>
    </row>
    <row r="364" spans="3:44" x14ac:dyDescent="0.2">
      <c r="C364" s="100"/>
      <c r="D364" s="100"/>
      <c r="E364" s="100"/>
      <c r="F364" s="100"/>
      <c r="G364" s="100"/>
      <c r="H364" s="101"/>
      <c r="I364" s="100"/>
      <c r="J364" s="100"/>
      <c r="K364" s="100"/>
      <c r="L364" s="100"/>
      <c r="M364" s="101"/>
      <c r="N364" s="100"/>
      <c r="O364" s="100"/>
      <c r="P364" s="100"/>
      <c r="Q364" s="100"/>
      <c r="R364" s="100"/>
      <c r="S364" s="100"/>
      <c r="T364" s="100"/>
      <c r="U364" s="100"/>
      <c r="V364" s="100"/>
      <c r="W364" s="100"/>
      <c r="X364" s="100"/>
      <c r="Y364" s="100"/>
      <c r="Z364" s="100"/>
      <c r="AA364" s="100"/>
      <c r="AB364" s="293"/>
      <c r="AC364" s="293"/>
      <c r="AD364" s="293"/>
      <c r="AE364" s="293"/>
      <c r="AF364" s="293"/>
      <c r="AG364" s="293"/>
      <c r="AH364" s="293"/>
      <c r="AI364" s="293"/>
      <c r="AJ364" s="293"/>
      <c r="AK364" s="293"/>
      <c r="AL364" s="293"/>
      <c r="AM364" s="293"/>
      <c r="AN364" s="293"/>
      <c r="AO364" s="293"/>
      <c r="AP364" s="293"/>
      <c r="AQ364" s="293"/>
      <c r="AR364" s="293"/>
    </row>
    <row r="365" spans="3:44" x14ac:dyDescent="0.2">
      <c r="C365" s="100"/>
      <c r="D365" s="100"/>
      <c r="E365" s="100"/>
      <c r="F365" s="100"/>
      <c r="G365" s="100"/>
      <c r="H365" s="101"/>
      <c r="I365" s="100"/>
      <c r="J365" s="100"/>
      <c r="K365" s="100"/>
      <c r="L365" s="100"/>
      <c r="M365" s="101"/>
      <c r="N365" s="100"/>
      <c r="O365" s="100"/>
      <c r="P365" s="100"/>
      <c r="Q365" s="100"/>
      <c r="R365" s="100"/>
      <c r="S365" s="100"/>
      <c r="T365" s="100"/>
      <c r="U365" s="100"/>
      <c r="V365" s="100"/>
      <c r="W365" s="100"/>
      <c r="X365" s="100"/>
      <c r="Y365" s="100"/>
      <c r="Z365" s="100"/>
      <c r="AA365" s="100"/>
      <c r="AB365" s="293"/>
      <c r="AC365" s="293"/>
      <c r="AD365" s="293"/>
      <c r="AE365" s="293"/>
      <c r="AF365" s="293"/>
      <c r="AG365" s="293"/>
      <c r="AH365" s="293"/>
      <c r="AI365" s="293"/>
      <c r="AJ365" s="293"/>
      <c r="AK365" s="293"/>
      <c r="AL365" s="293"/>
      <c r="AM365" s="293"/>
      <c r="AN365" s="293"/>
      <c r="AO365" s="293"/>
      <c r="AP365" s="293"/>
      <c r="AQ365" s="293"/>
      <c r="AR365" s="293"/>
    </row>
    <row r="366" spans="3:44" x14ac:dyDescent="0.2">
      <c r="C366" s="100"/>
      <c r="D366" s="100"/>
      <c r="E366" s="100"/>
      <c r="F366" s="100"/>
      <c r="G366" s="100"/>
      <c r="H366" s="101"/>
      <c r="I366" s="100"/>
      <c r="J366" s="100"/>
      <c r="K366" s="100"/>
      <c r="L366" s="100"/>
      <c r="M366" s="101"/>
      <c r="N366" s="100"/>
      <c r="O366" s="100"/>
      <c r="P366" s="100"/>
      <c r="Q366" s="100"/>
      <c r="R366" s="100"/>
      <c r="S366" s="100"/>
      <c r="T366" s="100"/>
      <c r="U366" s="100"/>
      <c r="V366" s="100"/>
      <c r="W366" s="100"/>
      <c r="X366" s="100"/>
      <c r="Y366" s="100"/>
      <c r="Z366" s="100"/>
      <c r="AA366" s="100"/>
      <c r="AB366" s="293"/>
      <c r="AC366" s="293"/>
      <c r="AD366" s="293"/>
      <c r="AE366" s="293"/>
      <c r="AF366" s="293"/>
      <c r="AG366" s="293"/>
      <c r="AH366" s="293"/>
      <c r="AI366" s="293"/>
      <c r="AJ366" s="293"/>
      <c r="AK366" s="293"/>
      <c r="AL366" s="293"/>
      <c r="AM366" s="293"/>
      <c r="AN366" s="293"/>
      <c r="AO366" s="293"/>
      <c r="AP366" s="293"/>
      <c r="AQ366" s="293"/>
      <c r="AR366" s="293"/>
    </row>
    <row r="367" spans="3:44" x14ac:dyDescent="0.2">
      <c r="C367" s="100"/>
      <c r="D367" s="100"/>
      <c r="E367" s="100"/>
      <c r="F367" s="100"/>
      <c r="G367" s="100"/>
      <c r="H367" s="101"/>
      <c r="I367" s="100"/>
      <c r="J367" s="100"/>
      <c r="K367" s="100"/>
      <c r="L367" s="100"/>
      <c r="M367" s="101"/>
      <c r="N367" s="100"/>
      <c r="O367" s="100"/>
      <c r="P367" s="100"/>
      <c r="Q367" s="100"/>
      <c r="R367" s="100"/>
      <c r="S367" s="100"/>
      <c r="T367" s="100"/>
      <c r="U367" s="100"/>
      <c r="V367" s="100"/>
      <c r="W367" s="100"/>
      <c r="X367" s="100"/>
      <c r="Y367" s="100"/>
      <c r="Z367" s="100"/>
      <c r="AA367" s="100"/>
      <c r="AB367" s="293"/>
      <c r="AC367" s="293"/>
      <c r="AD367" s="293"/>
      <c r="AE367" s="293"/>
      <c r="AF367" s="293"/>
      <c r="AG367" s="293"/>
      <c r="AH367" s="293"/>
      <c r="AI367" s="293"/>
      <c r="AJ367" s="293"/>
      <c r="AK367" s="293"/>
      <c r="AL367" s="293"/>
      <c r="AM367" s="293"/>
      <c r="AN367" s="293"/>
      <c r="AO367" s="293"/>
      <c r="AP367" s="293"/>
      <c r="AQ367" s="293"/>
      <c r="AR367" s="293"/>
    </row>
    <row r="368" spans="3:44" x14ac:dyDescent="0.2">
      <c r="C368" s="100"/>
      <c r="D368" s="100"/>
      <c r="E368" s="100"/>
      <c r="F368" s="100"/>
      <c r="G368" s="100"/>
      <c r="H368" s="101"/>
      <c r="I368" s="100"/>
      <c r="J368" s="100"/>
      <c r="K368" s="100"/>
      <c r="L368" s="100"/>
      <c r="M368" s="101"/>
      <c r="N368" s="100"/>
      <c r="O368" s="100"/>
      <c r="P368" s="100"/>
      <c r="Q368" s="100"/>
      <c r="R368" s="100"/>
      <c r="S368" s="100"/>
      <c r="T368" s="100"/>
      <c r="U368" s="100"/>
      <c r="V368" s="100"/>
      <c r="W368" s="100"/>
      <c r="X368" s="100"/>
      <c r="Y368" s="100"/>
      <c r="Z368" s="293"/>
      <c r="AA368" s="293"/>
      <c r="AB368" s="293"/>
      <c r="AC368" s="293"/>
      <c r="AD368" s="293"/>
      <c r="AE368" s="293"/>
      <c r="AF368" s="293"/>
      <c r="AG368" s="293"/>
      <c r="AH368" s="293"/>
      <c r="AI368" s="293"/>
      <c r="AJ368" s="293"/>
      <c r="AK368" s="293"/>
      <c r="AL368" s="293"/>
      <c r="AM368" s="293"/>
      <c r="AN368" s="293"/>
      <c r="AO368" s="293"/>
      <c r="AP368" s="293"/>
      <c r="AQ368" s="293"/>
      <c r="AR368" s="293"/>
    </row>
    <row r="369" spans="3:44" x14ac:dyDescent="0.2">
      <c r="C369" s="100"/>
      <c r="D369" s="100"/>
      <c r="E369" s="100"/>
      <c r="F369" s="100"/>
      <c r="G369" s="100"/>
      <c r="H369" s="101"/>
      <c r="I369" s="100"/>
      <c r="J369" s="100"/>
      <c r="K369" s="100"/>
      <c r="L369" s="100"/>
      <c r="M369" s="101"/>
      <c r="N369" s="100"/>
      <c r="O369" s="100"/>
      <c r="P369" s="100"/>
      <c r="Q369" s="100"/>
      <c r="R369" s="100"/>
      <c r="S369" s="100"/>
      <c r="T369" s="100"/>
      <c r="U369" s="100"/>
      <c r="V369" s="100"/>
      <c r="W369" s="100"/>
      <c r="X369" s="100"/>
      <c r="Y369" s="100"/>
      <c r="Z369" s="293"/>
      <c r="AA369" s="293"/>
      <c r="AB369" s="293"/>
      <c r="AC369" s="293"/>
      <c r="AD369" s="293"/>
      <c r="AE369" s="293"/>
      <c r="AF369" s="293"/>
      <c r="AG369" s="293"/>
      <c r="AH369" s="293"/>
      <c r="AI369" s="293"/>
      <c r="AJ369" s="293"/>
      <c r="AK369" s="293"/>
      <c r="AL369" s="293"/>
      <c r="AM369" s="293"/>
      <c r="AN369" s="293"/>
      <c r="AO369" s="293"/>
      <c r="AP369" s="293"/>
      <c r="AQ369" s="293"/>
      <c r="AR369" s="293"/>
    </row>
    <row r="370" spans="3:44" x14ac:dyDescent="0.2">
      <c r="C370" s="100"/>
      <c r="D370" s="100"/>
      <c r="E370" s="100"/>
      <c r="F370" s="100"/>
      <c r="G370" s="100"/>
      <c r="H370" s="101"/>
      <c r="I370" s="100"/>
      <c r="J370" s="100"/>
      <c r="K370" s="100"/>
      <c r="L370" s="100"/>
      <c r="M370" s="101"/>
      <c r="N370" s="100"/>
      <c r="O370" s="100"/>
      <c r="P370" s="100"/>
      <c r="Q370" s="100"/>
      <c r="R370" s="100"/>
      <c r="S370" s="100"/>
      <c r="T370" s="100"/>
      <c r="U370" s="100"/>
      <c r="V370" s="100"/>
      <c r="W370" s="100"/>
      <c r="X370" s="100"/>
      <c r="Y370" s="100"/>
      <c r="Z370" s="293"/>
      <c r="AA370" s="293"/>
      <c r="AB370" s="293"/>
      <c r="AC370" s="293"/>
      <c r="AD370" s="293"/>
      <c r="AE370" s="293"/>
      <c r="AF370" s="293"/>
      <c r="AG370" s="293"/>
      <c r="AH370" s="293"/>
      <c r="AI370" s="293"/>
      <c r="AJ370" s="293"/>
      <c r="AK370" s="293"/>
      <c r="AL370" s="293"/>
      <c r="AM370" s="293"/>
      <c r="AN370" s="293"/>
      <c r="AO370" s="293"/>
      <c r="AP370" s="293"/>
      <c r="AQ370" s="293"/>
      <c r="AR370" s="293"/>
    </row>
    <row r="371" spans="3:44" x14ac:dyDescent="0.2">
      <c r="C371" s="100"/>
      <c r="D371" s="100"/>
      <c r="E371" s="100"/>
      <c r="F371" s="100"/>
      <c r="G371" s="100"/>
      <c r="H371" s="101"/>
      <c r="I371" s="100"/>
      <c r="J371" s="100"/>
      <c r="K371" s="100"/>
      <c r="L371" s="100"/>
      <c r="M371" s="101"/>
      <c r="N371" s="100"/>
      <c r="O371" s="100"/>
      <c r="P371" s="100"/>
      <c r="Q371" s="100"/>
      <c r="R371" s="100"/>
      <c r="S371" s="100"/>
      <c r="T371" s="100"/>
      <c r="U371" s="100"/>
      <c r="V371" s="100"/>
      <c r="W371" s="100"/>
      <c r="X371" s="100"/>
      <c r="Y371" s="100"/>
      <c r="Z371" s="293"/>
      <c r="AA371" s="293"/>
      <c r="AB371" s="293"/>
      <c r="AC371" s="293"/>
      <c r="AD371" s="293"/>
      <c r="AE371" s="293"/>
      <c r="AF371" s="293"/>
      <c r="AG371" s="293"/>
      <c r="AH371" s="293"/>
      <c r="AI371" s="293"/>
      <c r="AJ371" s="293"/>
      <c r="AK371" s="293"/>
      <c r="AL371" s="293"/>
      <c r="AM371" s="293"/>
      <c r="AN371" s="293"/>
      <c r="AO371" s="293"/>
      <c r="AP371" s="293"/>
      <c r="AQ371" s="293"/>
      <c r="AR371" s="293"/>
    </row>
    <row r="372" spans="3:44" x14ac:dyDescent="0.2">
      <c r="C372" s="100"/>
      <c r="D372" s="100"/>
      <c r="E372" s="100"/>
      <c r="F372" s="100"/>
      <c r="G372" s="100"/>
      <c r="H372" s="101"/>
      <c r="I372" s="100"/>
      <c r="J372" s="100"/>
      <c r="K372" s="100"/>
      <c r="L372" s="100"/>
      <c r="M372" s="101"/>
      <c r="N372" s="100"/>
      <c r="O372" s="100"/>
      <c r="P372" s="100"/>
      <c r="Q372" s="100"/>
      <c r="R372" s="100"/>
      <c r="S372" s="100"/>
      <c r="T372" s="100"/>
      <c r="U372" s="100"/>
      <c r="V372" s="100"/>
      <c r="W372" s="100"/>
      <c r="X372" s="100"/>
      <c r="Y372" s="100"/>
      <c r="Z372" s="293"/>
      <c r="AA372" s="293"/>
      <c r="AB372" s="293"/>
      <c r="AC372" s="293"/>
      <c r="AD372" s="293"/>
      <c r="AE372" s="293"/>
      <c r="AF372" s="293"/>
      <c r="AG372" s="293"/>
      <c r="AH372" s="293"/>
      <c r="AI372" s="293"/>
      <c r="AJ372" s="293"/>
      <c r="AK372" s="293"/>
      <c r="AL372" s="293"/>
      <c r="AM372" s="293"/>
      <c r="AN372" s="293"/>
      <c r="AO372" s="293"/>
      <c r="AP372" s="293"/>
      <c r="AQ372" s="293"/>
      <c r="AR372" s="293"/>
    </row>
    <row r="373" spans="3:44" x14ac:dyDescent="0.2">
      <c r="C373" s="100"/>
      <c r="D373" s="100"/>
      <c r="E373" s="100"/>
      <c r="F373" s="100"/>
      <c r="G373" s="100"/>
      <c r="H373" s="101"/>
      <c r="I373" s="100"/>
      <c r="J373" s="100"/>
      <c r="K373" s="100"/>
      <c r="L373" s="100"/>
      <c r="M373" s="101"/>
      <c r="N373" s="100"/>
      <c r="O373" s="100"/>
      <c r="P373" s="100"/>
      <c r="Q373" s="100"/>
      <c r="R373" s="100"/>
      <c r="S373" s="100"/>
      <c r="T373" s="100"/>
      <c r="U373" s="100"/>
      <c r="V373" s="100"/>
      <c r="W373" s="100"/>
      <c r="X373" s="100"/>
      <c r="Y373" s="100"/>
      <c r="Z373" s="293"/>
      <c r="AA373" s="293"/>
      <c r="AB373" s="293"/>
      <c r="AC373" s="293"/>
      <c r="AD373" s="293"/>
      <c r="AE373" s="293"/>
      <c r="AF373" s="293"/>
      <c r="AG373" s="293"/>
      <c r="AH373" s="293"/>
      <c r="AI373" s="293"/>
      <c r="AJ373" s="293"/>
      <c r="AK373" s="293"/>
      <c r="AL373" s="293"/>
      <c r="AM373" s="293"/>
      <c r="AN373" s="293"/>
      <c r="AO373" s="293"/>
      <c r="AP373" s="293"/>
      <c r="AQ373" s="293"/>
      <c r="AR373" s="293"/>
    </row>
    <row r="374" spans="3:44" x14ac:dyDescent="0.2">
      <c r="C374" s="100"/>
      <c r="D374" s="100"/>
      <c r="E374" s="100"/>
      <c r="F374" s="100"/>
      <c r="G374" s="100"/>
      <c r="H374" s="101"/>
      <c r="I374" s="100"/>
      <c r="J374" s="100"/>
      <c r="K374" s="100"/>
      <c r="L374" s="100"/>
      <c r="M374" s="101"/>
      <c r="N374" s="100"/>
      <c r="O374" s="100"/>
      <c r="P374" s="100"/>
      <c r="Q374" s="100"/>
      <c r="R374" s="100"/>
      <c r="S374" s="100"/>
      <c r="T374" s="100"/>
      <c r="U374" s="100"/>
      <c r="V374" s="100"/>
      <c r="W374" s="100"/>
      <c r="X374" s="100"/>
      <c r="Y374" s="100"/>
      <c r="Z374" s="293"/>
      <c r="AA374" s="293"/>
      <c r="AB374" s="293"/>
      <c r="AC374" s="293"/>
      <c r="AD374" s="293"/>
      <c r="AE374" s="293"/>
      <c r="AF374" s="293"/>
      <c r="AG374" s="293"/>
      <c r="AH374" s="293"/>
      <c r="AI374" s="293"/>
      <c r="AJ374" s="293"/>
      <c r="AK374" s="293"/>
      <c r="AL374" s="293"/>
      <c r="AM374" s="293"/>
      <c r="AN374" s="293"/>
      <c r="AO374" s="293"/>
      <c r="AP374" s="293"/>
      <c r="AQ374" s="293"/>
      <c r="AR374" s="293"/>
    </row>
    <row r="375" spans="3:44" x14ac:dyDescent="0.2">
      <c r="C375" s="100"/>
      <c r="D375" s="100"/>
      <c r="E375" s="100"/>
      <c r="F375" s="100"/>
      <c r="G375" s="100"/>
      <c r="H375" s="101"/>
      <c r="I375" s="100"/>
      <c r="J375" s="100"/>
      <c r="K375" s="100"/>
      <c r="L375" s="100"/>
      <c r="M375" s="101"/>
      <c r="N375" s="100"/>
      <c r="O375" s="100"/>
      <c r="P375" s="100"/>
      <c r="Q375" s="100"/>
      <c r="R375" s="100"/>
      <c r="S375" s="100"/>
      <c r="T375" s="100"/>
      <c r="U375" s="100"/>
      <c r="V375" s="100"/>
      <c r="W375" s="100"/>
      <c r="X375" s="100"/>
      <c r="Y375" s="100"/>
      <c r="Z375" s="293"/>
      <c r="AA375" s="293"/>
      <c r="AB375" s="293"/>
      <c r="AC375" s="293"/>
      <c r="AD375" s="293"/>
      <c r="AE375" s="293"/>
      <c r="AF375" s="293"/>
      <c r="AG375" s="293"/>
      <c r="AH375" s="293"/>
      <c r="AI375" s="293"/>
      <c r="AJ375" s="293"/>
      <c r="AK375" s="293"/>
      <c r="AL375" s="293"/>
      <c r="AM375" s="293"/>
      <c r="AN375" s="293"/>
      <c r="AO375" s="293"/>
      <c r="AP375" s="293"/>
      <c r="AQ375" s="293"/>
      <c r="AR375" s="293"/>
    </row>
    <row r="376" spans="3:44" x14ac:dyDescent="0.2">
      <c r="C376" s="100"/>
      <c r="D376" s="100"/>
      <c r="E376" s="100"/>
      <c r="F376" s="100"/>
      <c r="G376" s="100"/>
      <c r="H376" s="101"/>
      <c r="I376" s="100"/>
      <c r="J376" s="100"/>
      <c r="K376" s="100"/>
      <c r="L376" s="100"/>
      <c r="M376" s="101"/>
      <c r="N376" s="100"/>
      <c r="O376" s="100"/>
      <c r="P376" s="100"/>
      <c r="Q376" s="100"/>
      <c r="R376" s="100"/>
      <c r="S376" s="100"/>
      <c r="T376" s="100"/>
      <c r="U376" s="100"/>
      <c r="V376" s="100"/>
      <c r="W376" s="100"/>
      <c r="X376" s="100"/>
      <c r="Y376" s="100"/>
      <c r="Z376" s="293"/>
      <c r="AA376" s="293"/>
      <c r="AB376" s="293"/>
      <c r="AC376" s="293"/>
      <c r="AD376" s="293"/>
      <c r="AE376" s="293"/>
      <c r="AF376" s="293"/>
      <c r="AG376" s="293"/>
      <c r="AH376" s="293"/>
      <c r="AI376" s="293"/>
      <c r="AJ376" s="293"/>
      <c r="AK376" s="293"/>
      <c r="AL376" s="293"/>
      <c r="AM376" s="293"/>
      <c r="AN376" s="293"/>
      <c r="AO376" s="293"/>
      <c r="AP376" s="293"/>
      <c r="AQ376" s="293"/>
      <c r="AR376" s="293"/>
    </row>
    <row r="377" spans="3:44" x14ac:dyDescent="0.2">
      <c r="C377" s="100"/>
      <c r="D377" s="100"/>
      <c r="E377" s="100"/>
      <c r="F377" s="100"/>
      <c r="G377" s="100"/>
      <c r="H377" s="101"/>
      <c r="I377" s="100"/>
      <c r="J377" s="100"/>
      <c r="K377" s="100"/>
      <c r="L377" s="100"/>
      <c r="M377" s="101"/>
      <c r="N377" s="100"/>
      <c r="O377" s="100"/>
      <c r="P377" s="100"/>
      <c r="Q377" s="100"/>
      <c r="R377" s="100"/>
      <c r="S377" s="100"/>
      <c r="T377" s="100"/>
      <c r="U377" s="100"/>
      <c r="V377" s="100"/>
      <c r="W377" s="100"/>
      <c r="X377" s="100"/>
      <c r="Y377" s="100"/>
      <c r="Z377" s="293"/>
      <c r="AA377" s="293"/>
      <c r="AB377" s="293"/>
      <c r="AC377" s="293"/>
      <c r="AD377" s="293"/>
      <c r="AE377" s="293"/>
      <c r="AF377" s="293"/>
      <c r="AG377" s="293"/>
      <c r="AH377" s="293"/>
      <c r="AI377" s="293"/>
      <c r="AJ377" s="293"/>
      <c r="AK377" s="293"/>
      <c r="AL377" s="293"/>
      <c r="AM377" s="293"/>
      <c r="AN377" s="293"/>
      <c r="AO377" s="293"/>
      <c r="AP377" s="293"/>
      <c r="AQ377" s="293"/>
      <c r="AR377" s="293"/>
    </row>
    <row r="378" spans="3:44" x14ac:dyDescent="0.2">
      <c r="C378" s="100"/>
      <c r="D378" s="100"/>
      <c r="E378" s="100"/>
      <c r="F378" s="100"/>
      <c r="G378" s="100"/>
      <c r="H378" s="101"/>
      <c r="I378" s="100"/>
      <c r="J378" s="100"/>
      <c r="K378" s="100"/>
      <c r="L378" s="100"/>
      <c r="M378" s="101"/>
      <c r="N378" s="100"/>
      <c r="O378" s="100"/>
      <c r="P378" s="100"/>
      <c r="Q378" s="100"/>
      <c r="R378" s="100"/>
      <c r="S378" s="100"/>
      <c r="T378" s="100"/>
      <c r="U378" s="100"/>
      <c r="V378" s="100"/>
      <c r="W378" s="100"/>
      <c r="X378" s="100"/>
      <c r="Y378" s="100"/>
      <c r="Z378" s="293"/>
      <c r="AA378" s="293"/>
      <c r="AB378" s="293"/>
      <c r="AC378" s="293"/>
      <c r="AD378" s="293"/>
      <c r="AE378" s="293"/>
      <c r="AF378" s="293"/>
      <c r="AG378" s="293"/>
      <c r="AH378" s="293"/>
      <c r="AI378" s="293"/>
      <c r="AJ378" s="293"/>
      <c r="AK378" s="293"/>
      <c r="AL378" s="293"/>
      <c r="AM378" s="293"/>
      <c r="AN378" s="293"/>
      <c r="AO378" s="293"/>
      <c r="AP378" s="293"/>
      <c r="AQ378" s="293"/>
      <c r="AR378" s="293"/>
    </row>
    <row r="379" spans="3:44" x14ac:dyDescent="0.2">
      <c r="C379" s="100"/>
      <c r="D379" s="100"/>
      <c r="E379" s="100"/>
      <c r="F379" s="100"/>
      <c r="G379" s="100"/>
      <c r="H379" s="101"/>
      <c r="I379" s="100"/>
      <c r="J379" s="100"/>
      <c r="K379" s="100"/>
      <c r="L379" s="100"/>
      <c r="M379" s="101"/>
      <c r="N379" s="100"/>
      <c r="O379" s="100"/>
      <c r="P379" s="100"/>
      <c r="Q379" s="100"/>
      <c r="R379" s="100"/>
      <c r="S379" s="100"/>
      <c r="T379" s="100"/>
      <c r="U379" s="100"/>
      <c r="V379" s="100"/>
      <c r="W379" s="100"/>
      <c r="X379" s="100"/>
      <c r="Y379" s="100"/>
      <c r="Z379" s="293"/>
      <c r="AA379" s="293"/>
      <c r="AB379" s="293"/>
      <c r="AC379" s="293"/>
      <c r="AD379" s="293"/>
      <c r="AE379" s="293"/>
      <c r="AF379" s="293"/>
      <c r="AG379" s="293"/>
      <c r="AH379" s="293"/>
      <c r="AI379" s="293"/>
      <c r="AJ379" s="293"/>
      <c r="AK379" s="293"/>
      <c r="AL379" s="293"/>
      <c r="AM379" s="293"/>
      <c r="AN379" s="293"/>
      <c r="AO379" s="293"/>
      <c r="AP379" s="293"/>
      <c r="AQ379" s="293"/>
      <c r="AR379" s="293"/>
    </row>
    <row r="380" spans="3:44" x14ac:dyDescent="0.2">
      <c r="C380" s="100"/>
      <c r="D380" s="100"/>
      <c r="E380" s="100"/>
      <c r="F380" s="100"/>
      <c r="G380" s="100"/>
      <c r="H380" s="101"/>
      <c r="I380" s="100"/>
      <c r="J380" s="100"/>
      <c r="K380" s="100"/>
      <c r="L380" s="100"/>
      <c r="M380" s="101"/>
      <c r="N380" s="100"/>
      <c r="O380" s="100"/>
      <c r="P380" s="100"/>
      <c r="Q380" s="100"/>
      <c r="R380" s="100"/>
      <c r="S380" s="100"/>
      <c r="T380" s="100"/>
      <c r="U380" s="100"/>
      <c r="V380" s="100"/>
      <c r="W380" s="100"/>
      <c r="X380" s="100"/>
      <c r="Y380" s="100"/>
      <c r="Z380" s="293"/>
      <c r="AA380" s="293"/>
      <c r="AB380" s="293"/>
      <c r="AC380" s="293"/>
      <c r="AD380" s="293"/>
      <c r="AE380" s="293"/>
      <c r="AF380" s="293"/>
      <c r="AG380" s="293"/>
      <c r="AH380" s="293"/>
      <c r="AI380" s="293"/>
      <c r="AJ380" s="293"/>
      <c r="AK380" s="293"/>
      <c r="AL380" s="293"/>
      <c r="AM380" s="293"/>
      <c r="AN380" s="293"/>
      <c r="AO380" s="293"/>
      <c r="AP380" s="293"/>
      <c r="AQ380" s="293"/>
      <c r="AR380" s="293"/>
    </row>
    <row r="381" spans="3:44" x14ac:dyDescent="0.2">
      <c r="C381" s="100"/>
      <c r="D381" s="100"/>
      <c r="E381" s="100"/>
      <c r="F381" s="100"/>
      <c r="G381" s="100"/>
      <c r="H381" s="101"/>
      <c r="I381" s="100"/>
      <c r="J381" s="100"/>
      <c r="K381" s="100"/>
      <c r="L381" s="100"/>
      <c r="M381" s="101"/>
      <c r="N381" s="100"/>
      <c r="O381" s="100"/>
      <c r="P381" s="100"/>
      <c r="Q381" s="100"/>
      <c r="R381" s="100"/>
      <c r="S381" s="100"/>
      <c r="T381" s="100"/>
      <c r="U381" s="100"/>
      <c r="V381" s="100"/>
      <c r="W381" s="100"/>
      <c r="X381" s="100"/>
      <c r="Y381" s="100"/>
      <c r="Z381" s="293"/>
      <c r="AA381" s="293"/>
      <c r="AB381" s="293"/>
      <c r="AC381" s="293"/>
      <c r="AD381" s="293"/>
      <c r="AE381" s="293"/>
      <c r="AF381" s="293"/>
      <c r="AG381" s="293"/>
      <c r="AH381" s="293"/>
      <c r="AI381" s="293"/>
      <c r="AJ381" s="293"/>
      <c r="AK381" s="293"/>
      <c r="AL381" s="293"/>
      <c r="AM381" s="293"/>
      <c r="AN381" s="293"/>
      <c r="AO381" s="293"/>
      <c r="AP381" s="293"/>
      <c r="AQ381" s="293"/>
      <c r="AR381" s="293"/>
    </row>
    <row r="382" spans="3:44" x14ac:dyDescent="0.2">
      <c r="C382" s="100"/>
      <c r="D382" s="100"/>
      <c r="E382" s="100"/>
      <c r="F382" s="100"/>
      <c r="G382" s="100"/>
      <c r="H382" s="101"/>
      <c r="I382" s="100"/>
      <c r="J382" s="100"/>
      <c r="K382" s="100"/>
      <c r="L382" s="100"/>
      <c r="M382" s="101"/>
      <c r="N382" s="100"/>
      <c r="O382" s="100"/>
      <c r="P382" s="100"/>
      <c r="Q382" s="100"/>
      <c r="R382" s="100"/>
      <c r="S382" s="100"/>
      <c r="T382" s="100"/>
      <c r="U382" s="100"/>
      <c r="V382" s="100"/>
      <c r="W382" s="100"/>
      <c r="X382" s="100"/>
      <c r="Y382" s="100"/>
      <c r="Z382" s="293"/>
      <c r="AA382" s="293"/>
      <c r="AB382" s="293"/>
      <c r="AC382" s="293"/>
      <c r="AD382" s="293"/>
      <c r="AE382" s="293"/>
      <c r="AF382" s="293"/>
      <c r="AG382" s="293"/>
      <c r="AH382" s="293"/>
      <c r="AI382" s="293"/>
      <c r="AJ382" s="293"/>
      <c r="AK382" s="293"/>
      <c r="AL382" s="293"/>
      <c r="AM382" s="293"/>
      <c r="AN382" s="293"/>
      <c r="AO382" s="293"/>
      <c r="AP382" s="293"/>
      <c r="AQ382" s="293"/>
      <c r="AR382" s="293"/>
    </row>
    <row r="383" spans="3:44" x14ac:dyDescent="0.2">
      <c r="C383" s="100"/>
      <c r="D383" s="100"/>
      <c r="E383" s="100"/>
      <c r="F383" s="100"/>
      <c r="G383" s="100"/>
      <c r="H383" s="101"/>
      <c r="I383" s="100"/>
      <c r="J383" s="100"/>
      <c r="K383" s="100"/>
      <c r="L383" s="100"/>
      <c r="M383" s="101"/>
      <c r="N383" s="100"/>
      <c r="O383" s="100"/>
      <c r="P383" s="100"/>
      <c r="Q383" s="100"/>
      <c r="R383" s="100"/>
      <c r="S383" s="100"/>
      <c r="T383" s="100"/>
      <c r="U383" s="100"/>
      <c r="V383" s="100"/>
      <c r="W383" s="100"/>
      <c r="X383" s="100"/>
      <c r="Y383" s="100"/>
      <c r="Z383" s="293"/>
      <c r="AA383" s="293"/>
      <c r="AB383" s="293"/>
      <c r="AC383" s="293"/>
      <c r="AD383" s="293"/>
      <c r="AE383" s="293"/>
      <c r="AF383" s="293"/>
      <c r="AG383" s="293"/>
      <c r="AH383" s="293"/>
      <c r="AI383" s="293"/>
      <c r="AJ383" s="293"/>
      <c r="AK383" s="293"/>
      <c r="AL383" s="293"/>
      <c r="AM383" s="293"/>
      <c r="AN383" s="293"/>
      <c r="AO383" s="293"/>
      <c r="AP383" s="293"/>
      <c r="AQ383" s="293"/>
      <c r="AR383" s="293"/>
    </row>
    <row r="384" spans="3:44" x14ac:dyDescent="0.2">
      <c r="C384" s="100"/>
      <c r="D384" s="100"/>
      <c r="E384" s="100"/>
      <c r="F384" s="100"/>
      <c r="G384" s="100"/>
      <c r="H384" s="101"/>
      <c r="I384" s="100"/>
      <c r="J384" s="100"/>
      <c r="K384" s="100"/>
      <c r="L384" s="100"/>
      <c r="M384" s="101"/>
      <c r="N384" s="100"/>
      <c r="O384" s="100"/>
      <c r="P384" s="100"/>
      <c r="Q384" s="100"/>
      <c r="R384" s="100"/>
      <c r="S384" s="100"/>
      <c r="T384" s="100"/>
      <c r="U384" s="100"/>
      <c r="V384" s="100"/>
      <c r="W384" s="100"/>
      <c r="X384" s="100"/>
      <c r="Y384" s="100"/>
      <c r="Z384" s="293"/>
      <c r="AA384" s="293"/>
      <c r="AB384" s="293"/>
      <c r="AC384" s="293"/>
      <c r="AD384" s="293"/>
      <c r="AE384" s="293"/>
      <c r="AF384" s="293"/>
      <c r="AG384" s="293"/>
      <c r="AH384" s="293"/>
      <c r="AI384" s="293"/>
      <c r="AJ384" s="293"/>
      <c r="AK384" s="293"/>
      <c r="AL384" s="293"/>
      <c r="AM384" s="293"/>
      <c r="AN384" s="293"/>
      <c r="AO384" s="293"/>
      <c r="AP384" s="293"/>
      <c r="AQ384" s="293"/>
      <c r="AR384" s="293"/>
    </row>
    <row r="385" spans="3:44" x14ac:dyDescent="0.2">
      <c r="C385" s="100"/>
      <c r="D385" s="100"/>
      <c r="E385" s="100"/>
      <c r="F385" s="100"/>
      <c r="G385" s="100"/>
      <c r="H385" s="101"/>
      <c r="I385" s="100"/>
      <c r="J385" s="100"/>
      <c r="K385" s="100"/>
      <c r="L385" s="100"/>
      <c r="M385" s="101"/>
      <c r="N385" s="100"/>
      <c r="O385" s="100"/>
      <c r="P385" s="100"/>
      <c r="Q385" s="100"/>
      <c r="R385" s="100"/>
      <c r="S385" s="100"/>
      <c r="T385" s="100"/>
      <c r="U385" s="100"/>
      <c r="V385" s="100"/>
      <c r="W385" s="100"/>
      <c r="X385" s="100"/>
      <c r="Y385" s="100"/>
      <c r="Z385" s="293"/>
      <c r="AA385" s="293"/>
      <c r="AB385" s="293"/>
      <c r="AC385" s="293"/>
      <c r="AD385" s="293"/>
      <c r="AE385" s="293"/>
      <c r="AF385" s="293"/>
      <c r="AG385" s="293"/>
      <c r="AH385" s="293"/>
      <c r="AI385" s="293"/>
      <c r="AJ385" s="293"/>
      <c r="AK385" s="293"/>
      <c r="AL385" s="293"/>
      <c r="AM385" s="293"/>
      <c r="AN385" s="293"/>
      <c r="AO385" s="293"/>
      <c r="AP385" s="293"/>
      <c r="AQ385" s="293"/>
      <c r="AR385" s="293"/>
    </row>
    <row r="386" spans="3:44" x14ac:dyDescent="0.2">
      <c r="C386" s="100"/>
      <c r="D386" s="100"/>
      <c r="E386" s="100"/>
      <c r="F386" s="100"/>
      <c r="G386" s="100"/>
      <c r="H386" s="101"/>
      <c r="I386" s="100"/>
      <c r="J386" s="100"/>
      <c r="K386" s="100"/>
      <c r="L386" s="100"/>
      <c r="M386" s="101"/>
      <c r="N386" s="100"/>
      <c r="O386" s="100"/>
      <c r="P386" s="100"/>
      <c r="Q386" s="100"/>
      <c r="R386" s="100"/>
      <c r="S386" s="100"/>
      <c r="T386" s="100"/>
      <c r="U386" s="100"/>
      <c r="V386" s="100"/>
      <c r="W386" s="100"/>
      <c r="X386" s="100"/>
      <c r="Y386" s="100"/>
      <c r="Z386" s="293"/>
      <c r="AA386" s="293"/>
      <c r="AB386" s="293"/>
      <c r="AC386" s="293"/>
      <c r="AD386" s="293"/>
      <c r="AE386" s="293"/>
      <c r="AF386" s="293"/>
      <c r="AG386" s="293"/>
      <c r="AH386" s="293"/>
      <c r="AI386" s="293"/>
      <c r="AJ386" s="293"/>
      <c r="AK386" s="293"/>
      <c r="AL386" s="293"/>
      <c r="AM386" s="293"/>
      <c r="AN386" s="293"/>
      <c r="AO386" s="293"/>
      <c r="AP386" s="293"/>
      <c r="AQ386" s="293"/>
      <c r="AR386" s="293"/>
    </row>
    <row r="387" spans="3:44" x14ac:dyDescent="0.2">
      <c r="C387" s="100"/>
      <c r="D387" s="100"/>
      <c r="E387" s="100"/>
      <c r="F387" s="100"/>
      <c r="G387" s="100"/>
      <c r="H387" s="101"/>
      <c r="I387" s="100"/>
      <c r="J387" s="100"/>
      <c r="K387" s="100"/>
      <c r="L387" s="100"/>
      <c r="M387" s="101"/>
      <c r="N387" s="100"/>
      <c r="O387" s="100"/>
      <c r="P387" s="100"/>
      <c r="Q387" s="100"/>
      <c r="R387" s="100"/>
      <c r="S387" s="100"/>
      <c r="T387" s="100"/>
      <c r="U387" s="100"/>
      <c r="V387" s="100"/>
      <c r="W387" s="100"/>
      <c r="X387" s="100"/>
      <c r="Y387" s="100"/>
      <c r="Z387" s="293"/>
      <c r="AA387" s="293"/>
      <c r="AB387" s="293"/>
      <c r="AC387" s="293"/>
      <c r="AD387" s="293"/>
      <c r="AE387" s="293"/>
      <c r="AF387" s="293"/>
      <c r="AG387" s="293"/>
      <c r="AH387" s="293"/>
      <c r="AI387" s="293"/>
      <c r="AJ387" s="293"/>
      <c r="AK387" s="293"/>
      <c r="AL387" s="293"/>
      <c r="AM387" s="293"/>
      <c r="AN387" s="293"/>
      <c r="AO387" s="293"/>
      <c r="AP387" s="293"/>
      <c r="AQ387" s="293"/>
      <c r="AR387" s="293"/>
    </row>
    <row r="388" spans="3:44" x14ac:dyDescent="0.2">
      <c r="C388" s="100"/>
      <c r="D388" s="100"/>
      <c r="E388" s="100"/>
      <c r="F388" s="100"/>
      <c r="G388" s="100"/>
      <c r="H388" s="101"/>
      <c r="I388" s="100"/>
      <c r="J388" s="100"/>
      <c r="K388" s="100"/>
      <c r="L388" s="100"/>
      <c r="M388" s="101"/>
      <c r="N388" s="100"/>
      <c r="O388" s="100"/>
      <c r="P388" s="100"/>
      <c r="Q388" s="100"/>
      <c r="R388" s="100"/>
      <c r="S388" s="100"/>
      <c r="T388" s="100"/>
      <c r="U388" s="100"/>
      <c r="V388" s="100"/>
      <c r="W388" s="100"/>
      <c r="X388" s="100"/>
      <c r="Y388" s="100"/>
      <c r="Z388" s="293"/>
      <c r="AA388" s="293"/>
      <c r="AB388" s="293"/>
      <c r="AC388" s="293"/>
      <c r="AD388" s="293"/>
      <c r="AE388" s="293"/>
      <c r="AF388" s="293"/>
      <c r="AG388" s="293"/>
      <c r="AH388" s="293"/>
      <c r="AI388" s="293"/>
      <c r="AJ388" s="293"/>
      <c r="AK388" s="293"/>
      <c r="AL388" s="293"/>
      <c r="AM388" s="293"/>
      <c r="AN388" s="293"/>
      <c r="AO388" s="293"/>
      <c r="AP388" s="293"/>
      <c r="AQ388" s="293"/>
      <c r="AR388" s="293"/>
    </row>
    <row r="389" spans="3:44" x14ac:dyDescent="0.2">
      <c r="C389" s="100"/>
      <c r="D389" s="100"/>
      <c r="E389" s="100"/>
      <c r="F389" s="100"/>
      <c r="G389" s="100"/>
      <c r="H389" s="101"/>
      <c r="I389" s="100"/>
      <c r="J389" s="100"/>
      <c r="K389" s="100"/>
      <c r="L389" s="100"/>
      <c r="M389" s="101"/>
      <c r="N389" s="100"/>
      <c r="O389" s="100"/>
      <c r="P389" s="100"/>
      <c r="Q389" s="100"/>
      <c r="R389" s="100"/>
      <c r="S389" s="100"/>
      <c r="T389" s="100"/>
      <c r="U389" s="100"/>
      <c r="V389" s="100"/>
      <c r="W389" s="100"/>
      <c r="X389" s="100"/>
      <c r="Y389" s="100"/>
      <c r="Z389" s="293"/>
      <c r="AA389" s="293"/>
      <c r="AB389" s="293"/>
      <c r="AC389" s="293"/>
      <c r="AD389" s="293"/>
      <c r="AE389" s="293"/>
      <c r="AF389" s="293"/>
      <c r="AG389" s="293"/>
      <c r="AH389" s="293"/>
      <c r="AI389" s="293"/>
      <c r="AJ389" s="293"/>
      <c r="AK389" s="293"/>
      <c r="AL389" s="293"/>
      <c r="AM389" s="293"/>
      <c r="AN389" s="293"/>
      <c r="AO389" s="293"/>
      <c r="AP389" s="293"/>
      <c r="AQ389" s="293"/>
      <c r="AR389" s="293"/>
    </row>
    <row r="390" spans="3:44" x14ac:dyDescent="0.2">
      <c r="C390" s="100"/>
      <c r="D390" s="100"/>
      <c r="E390" s="100"/>
      <c r="F390" s="100"/>
      <c r="G390" s="100"/>
      <c r="H390" s="101"/>
      <c r="I390" s="100"/>
      <c r="J390" s="100"/>
      <c r="K390" s="100"/>
      <c r="L390" s="100"/>
      <c r="M390" s="101"/>
      <c r="N390" s="100"/>
      <c r="O390" s="100"/>
      <c r="P390" s="100"/>
      <c r="Q390" s="100"/>
      <c r="R390" s="100"/>
      <c r="S390" s="100"/>
      <c r="T390" s="100"/>
      <c r="U390" s="100"/>
      <c r="V390" s="100"/>
      <c r="W390" s="100"/>
      <c r="X390" s="100"/>
      <c r="Y390" s="100"/>
      <c r="Z390" s="293"/>
      <c r="AA390" s="293"/>
      <c r="AB390" s="293"/>
      <c r="AC390" s="293"/>
      <c r="AD390" s="293"/>
      <c r="AE390" s="293"/>
      <c r="AF390" s="293"/>
      <c r="AG390" s="293"/>
      <c r="AH390" s="293"/>
      <c r="AI390" s="293"/>
      <c r="AJ390" s="293"/>
      <c r="AK390" s="293"/>
      <c r="AL390" s="293"/>
      <c r="AM390" s="293"/>
      <c r="AN390" s="293"/>
      <c r="AO390" s="293"/>
      <c r="AP390" s="293"/>
      <c r="AQ390" s="293"/>
      <c r="AR390" s="293"/>
    </row>
    <row r="391" spans="3:44" x14ac:dyDescent="0.2">
      <c r="C391" s="100"/>
      <c r="D391" s="100"/>
      <c r="E391" s="100"/>
      <c r="F391" s="100"/>
      <c r="G391" s="100"/>
      <c r="H391" s="101"/>
      <c r="I391" s="100"/>
      <c r="J391" s="100"/>
      <c r="K391" s="100"/>
      <c r="L391" s="100"/>
      <c r="M391" s="101"/>
      <c r="N391" s="100"/>
      <c r="O391" s="100"/>
      <c r="P391" s="100"/>
      <c r="Q391" s="100"/>
      <c r="R391" s="100"/>
      <c r="S391" s="100"/>
      <c r="T391" s="100"/>
      <c r="U391" s="100"/>
      <c r="V391" s="100"/>
      <c r="W391" s="100"/>
      <c r="X391" s="100"/>
      <c r="Y391" s="100"/>
      <c r="Z391" s="293"/>
      <c r="AA391" s="293"/>
      <c r="AB391" s="293"/>
      <c r="AC391" s="293"/>
      <c r="AD391" s="293"/>
      <c r="AE391" s="293"/>
      <c r="AF391" s="293"/>
      <c r="AG391" s="293"/>
      <c r="AH391" s="293"/>
      <c r="AI391" s="293"/>
      <c r="AJ391" s="293"/>
      <c r="AK391" s="293"/>
      <c r="AL391" s="293"/>
      <c r="AM391" s="293"/>
      <c r="AN391" s="293"/>
      <c r="AO391" s="293"/>
      <c r="AP391" s="293"/>
      <c r="AQ391" s="293"/>
      <c r="AR391" s="293"/>
    </row>
    <row r="392" spans="3:44" x14ac:dyDescent="0.2">
      <c r="C392" s="100"/>
      <c r="D392" s="100"/>
      <c r="E392" s="100"/>
      <c r="F392" s="100"/>
      <c r="G392" s="100"/>
      <c r="H392" s="101"/>
      <c r="I392" s="100"/>
      <c r="J392" s="100"/>
      <c r="K392" s="100"/>
      <c r="L392" s="100"/>
      <c r="M392" s="101"/>
      <c r="N392" s="100"/>
      <c r="O392" s="100"/>
      <c r="P392" s="100"/>
      <c r="Q392" s="100"/>
      <c r="R392" s="100"/>
      <c r="S392" s="100"/>
      <c r="T392" s="100"/>
      <c r="U392" s="100"/>
      <c r="V392" s="100"/>
      <c r="W392" s="100"/>
      <c r="X392" s="100"/>
      <c r="Y392" s="100"/>
      <c r="Z392" s="293"/>
      <c r="AA392" s="293"/>
      <c r="AB392" s="293"/>
      <c r="AC392" s="293"/>
      <c r="AD392" s="293"/>
      <c r="AE392" s="293"/>
      <c r="AF392" s="293"/>
      <c r="AG392" s="293"/>
      <c r="AH392" s="293"/>
      <c r="AI392" s="293"/>
      <c r="AJ392" s="293"/>
      <c r="AK392" s="293"/>
      <c r="AL392" s="293"/>
      <c r="AM392" s="293"/>
      <c r="AN392" s="293"/>
      <c r="AO392" s="293"/>
      <c r="AP392" s="293"/>
      <c r="AQ392" s="293"/>
      <c r="AR392" s="293"/>
    </row>
    <row r="393" spans="3:44" x14ac:dyDescent="0.2">
      <c r="C393" s="100"/>
      <c r="D393" s="100"/>
      <c r="E393" s="100"/>
      <c r="F393" s="100"/>
      <c r="G393" s="100"/>
      <c r="H393" s="101"/>
      <c r="I393" s="100"/>
      <c r="J393" s="100"/>
      <c r="K393" s="100"/>
      <c r="L393" s="100"/>
      <c r="M393" s="101"/>
      <c r="N393" s="100"/>
      <c r="O393" s="100"/>
      <c r="P393" s="100"/>
      <c r="Q393" s="100"/>
      <c r="R393" s="100"/>
      <c r="S393" s="100"/>
      <c r="T393" s="100"/>
      <c r="U393" s="100"/>
      <c r="V393" s="100"/>
      <c r="W393" s="100"/>
      <c r="X393" s="100"/>
      <c r="Y393" s="100"/>
      <c r="Z393" s="293"/>
      <c r="AA393" s="293"/>
      <c r="AB393" s="293"/>
      <c r="AC393" s="293"/>
      <c r="AD393" s="293"/>
      <c r="AE393" s="293"/>
      <c r="AF393" s="293"/>
      <c r="AG393" s="293"/>
      <c r="AH393" s="293"/>
      <c r="AI393" s="293"/>
      <c r="AJ393" s="293"/>
      <c r="AK393" s="293"/>
      <c r="AL393" s="293"/>
      <c r="AM393" s="293"/>
      <c r="AN393" s="293"/>
      <c r="AO393" s="293"/>
      <c r="AP393" s="293"/>
      <c r="AQ393" s="293"/>
      <c r="AR393" s="293"/>
    </row>
    <row r="394" spans="3:44" x14ac:dyDescent="0.2">
      <c r="C394" s="100"/>
      <c r="D394" s="100"/>
      <c r="E394" s="100"/>
      <c r="F394" s="100"/>
      <c r="G394" s="100"/>
      <c r="H394" s="101"/>
      <c r="I394" s="100"/>
      <c r="J394" s="100"/>
      <c r="K394" s="100"/>
      <c r="L394" s="100"/>
      <c r="M394" s="101"/>
      <c r="N394" s="100"/>
      <c r="O394" s="100"/>
      <c r="P394" s="100"/>
      <c r="Q394" s="100"/>
      <c r="R394" s="100"/>
      <c r="S394" s="100"/>
      <c r="T394" s="100"/>
      <c r="U394" s="100"/>
      <c r="V394" s="100"/>
      <c r="W394" s="100"/>
      <c r="X394" s="100"/>
      <c r="Y394" s="100"/>
      <c r="Z394" s="293"/>
      <c r="AA394" s="293"/>
      <c r="AB394" s="293"/>
      <c r="AC394" s="293"/>
      <c r="AD394" s="293"/>
      <c r="AE394" s="293"/>
      <c r="AF394" s="293"/>
      <c r="AG394" s="293"/>
      <c r="AH394" s="293"/>
      <c r="AI394" s="293"/>
      <c r="AJ394" s="293"/>
      <c r="AK394" s="293"/>
      <c r="AL394" s="293"/>
      <c r="AM394" s="293"/>
      <c r="AN394" s="293"/>
      <c r="AO394" s="293"/>
      <c r="AP394" s="293"/>
      <c r="AQ394" s="293"/>
      <c r="AR394" s="293"/>
    </row>
    <row r="395" spans="3:44" x14ac:dyDescent="0.2">
      <c r="C395" s="100"/>
      <c r="D395" s="100"/>
      <c r="E395" s="100"/>
      <c r="F395" s="100"/>
      <c r="G395" s="100"/>
      <c r="H395" s="101"/>
      <c r="I395" s="100"/>
      <c r="J395" s="100"/>
      <c r="K395" s="100"/>
      <c r="L395" s="100"/>
      <c r="M395" s="101"/>
      <c r="N395" s="100"/>
      <c r="O395" s="100"/>
      <c r="P395" s="100"/>
      <c r="Q395" s="100"/>
      <c r="R395" s="100"/>
      <c r="S395" s="100"/>
      <c r="T395" s="100"/>
      <c r="U395" s="100"/>
      <c r="V395" s="100"/>
      <c r="W395" s="100"/>
      <c r="X395" s="100"/>
      <c r="Y395" s="100"/>
      <c r="Z395" s="293"/>
      <c r="AA395" s="293"/>
      <c r="AB395" s="293"/>
      <c r="AC395" s="293"/>
      <c r="AD395" s="293"/>
      <c r="AE395" s="293"/>
      <c r="AF395" s="293"/>
      <c r="AG395" s="293"/>
      <c r="AH395" s="293"/>
      <c r="AI395" s="293"/>
      <c r="AJ395" s="293"/>
      <c r="AK395" s="293"/>
      <c r="AL395" s="293"/>
      <c r="AM395" s="293"/>
      <c r="AN395" s="293"/>
      <c r="AO395" s="293"/>
      <c r="AP395" s="293"/>
      <c r="AQ395" s="293"/>
      <c r="AR395" s="293"/>
    </row>
    <row r="396" spans="3:44" x14ac:dyDescent="0.2">
      <c r="C396" s="100"/>
      <c r="D396" s="100"/>
      <c r="E396" s="100"/>
      <c r="F396" s="100"/>
      <c r="G396" s="100"/>
      <c r="H396" s="101"/>
      <c r="I396" s="100"/>
      <c r="J396" s="100"/>
      <c r="K396" s="100"/>
      <c r="L396" s="100"/>
      <c r="M396" s="101"/>
      <c r="N396" s="100"/>
      <c r="O396" s="100"/>
      <c r="P396" s="100"/>
      <c r="Q396" s="100"/>
      <c r="R396" s="100"/>
      <c r="S396" s="100"/>
      <c r="T396" s="100"/>
      <c r="U396" s="100"/>
      <c r="V396" s="100"/>
      <c r="W396" s="100"/>
      <c r="X396" s="100"/>
      <c r="Y396" s="100"/>
      <c r="Z396" s="293"/>
      <c r="AA396" s="293"/>
      <c r="AB396" s="293"/>
      <c r="AC396" s="293"/>
      <c r="AD396" s="293"/>
      <c r="AE396" s="293"/>
      <c r="AF396" s="293"/>
      <c r="AG396" s="293"/>
      <c r="AH396" s="293"/>
      <c r="AI396" s="293"/>
      <c r="AJ396" s="293"/>
      <c r="AK396" s="293"/>
      <c r="AL396" s="293"/>
      <c r="AM396" s="293"/>
      <c r="AN396" s="293"/>
      <c r="AO396" s="293"/>
      <c r="AP396" s="293"/>
      <c r="AQ396" s="293"/>
      <c r="AR396" s="293"/>
    </row>
    <row r="397" spans="3:44" x14ac:dyDescent="0.2">
      <c r="C397" s="100"/>
      <c r="D397" s="100"/>
      <c r="E397" s="100"/>
      <c r="F397" s="100"/>
      <c r="G397" s="100"/>
      <c r="H397" s="101"/>
      <c r="I397" s="100"/>
      <c r="J397" s="100"/>
      <c r="K397" s="100"/>
      <c r="L397" s="100"/>
      <c r="M397" s="101"/>
      <c r="N397" s="100"/>
      <c r="O397" s="100"/>
      <c r="P397" s="100"/>
      <c r="Q397" s="100"/>
      <c r="R397" s="100"/>
      <c r="S397" s="100"/>
      <c r="T397" s="100"/>
      <c r="U397" s="100"/>
      <c r="V397" s="100"/>
      <c r="W397" s="100"/>
      <c r="X397" s="100"/>
      <c r="Y397" s="100"/>
      <c r="Z397" s="293"/>
      <c r="AA397" s="293"/>
      <c r="AB397" s="293"/>
      <c r="AC397" s="293"/>
      <c r="AD397" s="293"/>
      <c r="AE397" s="293"/>
      <c r="AF397" s="293"/>
      <c r="AG397" s="293"/>
      <c r="AH397" s="293"/>
      <c r="AI397" s="293"/>
      <c r="AJ397" s="293"/>
      <c r="AK397" s="293"/>
      <c r="AL397" s="293"/>
      <c r="AM397" s="293"/>
      <c r="AN397" s="293"/>
      <c r="AO397" s="293"/>
      <c r="AP397" s="293"/>
      <c r="AQ397" s="293"/>
      <c r="AR397" s="293"/>
    </row>
    <row r="398" spans="3:44" x14ac:dyDescent="0.2">
      <c r="C398" s="100"/>
      <c r="D398" s="100"/>
      <c r="E398" s="100"/>
      <c r="F398" s="100"/>
      <c r="G398" s="100"/>
      <c r="H398" s="101"/>
      <c r="I398" s="100"/>
      <c r="J398" s="100"/>
      <c r="K398" s="100"/>
      <c r="L398" s="100"/>
      <c r="M398" s="101"/>
      <c r="N398" s="100"/>
      <c r="O398" s="100"/>
      <c r="P398" s="100"/>
      <c r="Q398" s="100"/>
      <c r="R398" s="100"/>
      <c r="S398" s="100"/>
      <c r="T398" s="100"/>
      <c r="U398" s="100"/>
      <c r="V398" s="100"/>
      <c r="W398" s="100"/>
      <c r="X398" s="100"/>
      <c r="Y398" s="100"/>
      <c r="Z398" s="293"/>
      <c r="AA398" s="293"/>
      <c r="AB398" s="293"/>
      <c r="AC398" s="293"/>
      <c r="AD398" s="293"/>
      <c r="AE398" s="293"/>
      <c r="AF398" s="293"/>
      <c r="AG398" s="293"/>
      <c r="AH398" s="293"/>
      <c r="AI398" s="293"/>
      <c r="AJ398" s="293"/>
      <c r="AK398" s="293"/>
      <c r="AL398" s="293"/>
      <c r="AM398" s="293"/>
      <c r="AN398" s="293"/>
      <c r="AO398" s="293"/>
      <c r="AP398" s="293"/>
      <c r="AQ398" s="293"/>
      <c r="AR398" s="293"/>
    </row>
    <row r="399" spans="3:44" x14ac:dyDescent="0.2">
      <c r="C399" s="100"/>
      <c r="D399" s="100"/>
      <c r="E399" s="100"/>
      <c r="F399" s="100"/>
      <c r="G399" s="100"/>
      <c r="H399" s="101"/>
      <c r="I399" s="100"/>
      <c r="J399" s="100"/>
      <c r="K399" s="100"/>
      <c r="L399" s="100"/>
      <c r="M399" s="101"/>
      <c r="N399" s="100"/>
      <c r="O399" s="100"/>
      <c r="P399" s="100"/>
      <c r="Q399" s="100"/>
      <c r="R399" s="100"/>
      <c r="S399" s="100"/>
      <c r="T399" s="100"/>
      <c r="U399" s="100"/>
      <c r="V399" s="100"/>
      <c r="W399" s="100"/>
      <c r="X399" s="100"/>
      <c r="Y399" s="100"/>
      <c r="Z399" s="293"/>
      <c r="AA399" s="293"/>
      <c r="AB399" s="293"/>
      <c r="AC399" s="293"/>
      <c r="AD399" s="293"/>
      <c r="AE399" s="293"/>
      <c r="AF399" s="293"/>
      <c r="AG399" s="293"/>
      <c r="AH399" s="293"/>
      <c r="AI399" s="293"/>
      <c r="AJ399" s="293"/>
      <c r="AK399" s="293"/>
      <c r="AL399" s="293"/>
      <c r="AM399" s="293"/>
      <c r="AN399" s="293"/>
      <c r="AO399" s="293"/>
      <c r="AP399" s="293"/>
      <c r="AQ399" s="293"/>
      <c r="AR399" s="293"/>
    </row>
    <row r="400" spans="3:44" x14ac:dyDescent="0.2">
      <c r="C400" s="100"/>
      <c r="D400" s="100"/>
      <c r="E400" s="100"/>
      <c r="F400" s="100"/>
      <c r="G400" s="100"/>
      <c r="H400" s="101"/>
      <c r="I400" s="100"/>
      <c r="J400" s="100"/>
      <c r="K400" s="100"/>
      <c r="L400" s="100"/>
      <c r="M400" s="101"/>
      <c r="N400" s="100"/>
      <c r="O400" s="100"/>
      <c r="P400" s="100"/>
      <c r="Q400" s="100"/>
      <c r="R400" s="100"/>
      <c r="S400" s="100"/>
      <c r="T400" s="100"/>
      <c r="U400" s="100"/>
      <c r="V400" s="100"/>
      <c r="W400" s="100"/>
      <c r="X400" s="100"/>
      <c r="Y400" s="100"/>
      <c r="Z400" s="293"/>
      <c r="AA400" s="293"/>
      <c r="AB400" s="293"/>
      <c r="AC400" s="293"/>
      <c r="AD400" s="293"/>
      <c r="AE400" s="293"/>
      <c r="AF400" s="293"/>
      <c r="AG400" s="293"/>
      <c r="AH400" s="293"/>
      <c r="AI400" s="293"/>
      <c r="AJ400" s="293"/>
      <c r="AK400" s="293"/>
      <c r="AL400" s="293"/>
      <c r="AM400" s="293"/>
      <c r="AN400" s="293"/>
      <c r="AO400" s="293"/>
      <c r="AP400" s="293"/>
      <c r="AQ400" s="293"/>
      <c r="AR400" s="293"/>
    </row>
    <row r="401" spans="3:44" x14ac:dyDescent="0.2">
      <c r="C401" s="100"/>
      <c r="D401" s="100"/>
      <c r="E401" s="100"/>
      <c r="F401" s="100"/>
      <c r="G401" s="100"/>
      <c r="H401" s="101"/>
      <c r="I401" s="100"/>
      <c r="J401" s="100"/>
      <c r="K401" s="100"/>
      <c r="L401" s="100"/>
      <c r="M401" s="101"/>
      <c r="N401" s="100"/>
      <c r="O401" s="100"/>
      <c r="P401" s="100"/>
      <c r="Q401" s="100"/>
      <c r="R401" s="100"/>
      <c r="S401" s="100"/>
      <c r="T401" s="100"/>
      <c r="U401" s="100"/>
      <c r="V401" s="100"/>
      <c r="W401" s="100"/>
      <c r="X401" s="100"/>
      <c r="Y401" s="100"/>
      <c r="Z401" s="293"/>
      <c r="AA401" s="293"/>
      <c r="AB401" s="293"/>
      <c r="AC401" s="293"/>
      <c r="AD401" s="293"/>
      <c r="AE401" s="293"/>
      <c r="AF401" s="293"/>
      <c r="AG401" s="293"/>
      <c r="AH401" s="293"/>
      <c r="AI401" s="293"/>
      <c r="AJ401" s="293"/>
      <c r="AK401" s="293"/>
      <c r="AL401" s="293"/>
      <c r="AM401" s="293"/>
      <c r="AN401" s="293"/>
      <c r="AO401" s="293"/>
      <c r="AP401" s="293"/>
      <c r="AQ401" s="293"/>
      <c r="AR401" s="293"/>
    </row>
    <row r="402" spans="3:44" x14ac:dyDescent="0.2">
      <c r="C402" s="100"/>
      <c r="D402" s="100"/>
      <c r="E402" s="100"/>
      <c r="F402" s="100"/>
      <c r="G402" s="100"/>
      <c r="H402" s="101"/>
      <c r="I402" s="100"/>
      <c r="J402" s="100"/>
      <c r="K402" s="100"/>
      <c r="L402" s="100"/>
      <c r="M402" s="101"/>
      <c r="N402" s="100"/>
      <c r="O402" s="100"/>
      <c r="P402" s="100"/>
      <c r="Q402" s="100"/>
      <c r="R402" s="100"/>
      <c r="S402" s="100"/>
      <c r="T402" s="100"/>
      <c r="U402" s="100"/>
      <c r="V402" s="100"/>
      <c r="W402" s="100"/>
      <c r="X402" s="100"/>
      <c r="Y402" s="100"/>
      <c r="Z402" s="293"/>
      <c r="AA402" s="293"/>
      <c r="AB402" s="293"/>
      <c r="AC402" s="293"/>
      <c r="AD402" s="293"/>
      <c r="AE402" s="293"/>
      <c r="AF402" s="293"/>
      <c r="AG402" s="293"/>
      <c r="AH402" s="293"/>
      <c r="AI402" s="293"/>
      <c r="AJ402" s="293"/>
      <c r="AK402" s="293"/>
      <c r="AL402" s="293"/>
      <c r="AM402" s="293"/>
      <c r="AN402" s="293"/>
      <c r="AO402" s="293"/>
      <c r="AP402" s="293"/>
      <c r="AQ402" s="293"/>
      <c r="AR402" s="293"/>
    </row>
    <row r="403" spans="3:44" x14ac:dyDescent="0.2">
      <c r="C403" s="100"/>
      <c r="D403" s="100"/>
      <c r="E403" s="100"/>
      <c r="F403" s="100"/>
      <c r="G403" s="100"/>
      <c r="H403" s="101"/>
      <c r="I403" s="100"/>
      <c r="J403" s="100"/>
      <c r="K403" s="100"/>
      <c r="L403" s="100"/>
      <c r="M403" s="101"/>
      <c r="N403" s="100"/>
      <c r="O403" s="100"/>
      <c r="P403" s="100"/>
      <c r="Q403" s="100"/>
      <c r="R403" s="100"/>
      <c r="S403" s="100"/>
      <c r="T403" s="100"/>
      <c r="U403" s="100"/>
      <c r="V403" s="100"/>
      <c r="W403" s="100"/>
      <c r="X403" s="100"/>
      <c r="Y403" s="100"/>
      <c r="Z403" s="293"/>
      <c r="AA403" s="293"/>
      <c r="AB403" s="293"/>
      <c r="AC403" s="293"/>
      <c r="AD403" s="293"/>
      <c r="AE403" s="293"/>
      <c r="AF403" s="293"/>
      <c r="AG403" s="293"/>
      <c r="AH403" s="293"/>
      <c r="AI403" s="293"/>
      <c r="AJ403" s="293"/>
      <c r="AK403" s="293"/>
      <c r="AL403" s="293"/>
      <c r="AM403" s="293"/>
      <c r="AN403" s="293"/>
      <c r="AO403" s="293"/>
      <c r="AP403" s="293"/>
      <c r="AQ403" s="293"/>
      <c r="AR403" s="293"/>
    </row>
    <row r="404" spans="3:44" x14ac:dyDescent="0.2">
      <c r="C404" s="100"/>
      <c r="D404" s="100"/>
      <c r="E404" s="100"/>
      <c r="F404" s="100"/>
      <c r="G404" s="100"/>
      <c r="H404" s="101"/>
      <c r="I404" s="100"/>
      <c r="J404" s="100"/>
      <c r="K404" s="100"/>
      <c r="L404" s="100"/>
      <c r="M404" s="101"/>
      <c r="N404" s="100"/>
      <c r="O404" s="100"/>
      <c r="P404" s="100"/>
      <c r="Q404" s="100"/>
      <c r="R404" s="100"/>
      <c r="S404" s="100"/>
      <c r="T404" s="100"/>
      <c r="U404" s="100"/>
      <c r="V404" s="100"/>
      <c r="W404" s="100"/>
      <c r="X404" s="100"/>
      <c r="Y404" s="100"/>
      <c r="Z404" s="293"/>
      <c r="AA404" s="293"/>
      <c r="AB404" s="293"/>
      <c r="AC404" s="293"/>
      <c r="AD404" s="293"/>
      <c r="AE404" s="293"/>
      <c r="AF404" s="293"/>
      <c r="AG404" s="293"/>
      <c r="AH404" s="293"/>
      <c r="AI404" s="293"/>
      <c r="AJ404" s="293"/>
      <c r="AK404" s="293"/>
      <c r="AL404" s="293"/>
      <c r="AM404" s="293"/>
      <c r="AN404" s="293"/>
      <c r="AO404" s="293"/>
      <c r="AP404" s="293"/>
      <c r="AQ404" s="293"/>
      <c r="AR404" s="293"/>
    </row>
    <row r="405" spans="3:44" x14ac:dyDescent="0.2">
      <c r="C405" s="100"/>
      <c r="D405" s="100"/>
      <c r="E405" s="100"/>
      <c r="F405" s="100"/>
      <c r="G405" s="100"/>
      <c r="H405" s="101"/>
      <c r="I405" s="100"/>
      <c r="J405" s="100"/>
      <c r="K405" s="100"/>
      <c r="L405" s="100"/>
      <c r="M405" s="101"/>
      <c r="N405" s="100"/>
      <c r="O405" s="100"/>
      <c r="P405" s="100"/>
      <c r="Q405" s="100"/>
      <c r="R405" s="100"/>
      <c r="S405" s="100"/>
      <c r="T405" s="100"/>
      <c r="U405" s="100"/>
      <c r="V405" s="100"/>
      <c r="W405" s="100"/>
      <c r="X405" s="100"/>
      <c r="Y405" s="100"/>
      <c r="Z405" s="293"/>
      <c r="AA405" s="293"/>
      <c r="AB405" s="293"/>
      <c r="AC405" s="293"/>
      <c r="AD405" s="293"/>
      <c r="AE405" s="293"/>
      <c r="AF405" s="293"/>
      <c r="AG405" s="293"/>
      <c r="AH405" s="293"/>
      <c r="AI405" s="293"/>
      <c r="AJ405" s="293"/>
      <c r="AK405" s="293"/>
      <c r="AL405" s="293"/>
      <c r="AM405" s="293"/>
      <c r="AN405" s="293"/>
      <c r="AO405" s="293"/>
      <c r="AP405" s="293"/>
      <c r="AQ405" s="293"/>
      <c r="AR405" s="293"/>
    </row>
    <row r="406" spans="3:44" x14ac:dyDescent="0.2">
      <c r="C406" s="100"/>
      <c r="D406" s="100"/>
      <c r="E406" s="100"/>
      <c r="F406" s="100"/>
      <c r="G406" s="100"/>
      <c r="H406" s="101"/>
      <c r="I406" s="100"/>
      <c r="J406" s="100"/>
      <c r="K406" s="100"/>
      <c r="L406" s="100"/>
      <c r="M406" s="101"/>
      <c r="N406" s="100"/>
      <c r="O406" s="100"/>
      <c r="P406" s="100"/>
      <c r="Q406" s="100"/>
      <c r="R406" s="100"/>
      <c r="S406" s="100"/>
      <c r="T406" s="100"/>
      <c r="U406" s="100"/>
      <c r="V406" s="100"/>
      <c r="W406" s="100"/>
      <c r="X406" s="100"/>
      <c r="Y406" s="100"/>
      <c r="Z406" s="293"/>
      <c r="AA406" s="293"/>
      <c r="AB406" s="293"/>
      <c r="AC406" s="293"/>
      <c r="AD406" s="293"/>
      <c r="AE406" s="293"/>
      <c r="AF406" s="293"/>
      <c r="AG406" s="293"/>
      <c r="AH406" s="293"/>
      <c r="AI406" s="293"/>
      <c r="AJ406" s="293"/>
      <c r="AK406" s="293"/>
      <c r="AL406" s="293"/>
      <c r="AM406" s="293"/>
      <c r="AN406" s="293"/>
      <c r="AO406" s="293"/>
      <c r="AP406" s="293"/>
      <c r="AQ406" s="293"/>
      <c r="AR406" s="293"/>
    </row>
    <row r="407" spans="3:44" x14ac:dyDescent="0.2">
      <c r="C407" s="100"/>
      <c r="D407" s="100"/>
      <c r="E407" s="100"/>
      <c r="F407" s="100"/>
      <c r="G407" s="100"/>
      <c r="H407" s="101"/>
      <c r="I407" s="100"/>
      <c r="J407" s="100"/>
      <c r="K407" s="100"/>
      <c r="L407" s="100"/>
      <c r="M407" s="101"/>
      <c r="N407" s="100"/>
      <c r="O407" s="100"/>
      <c r="P407" s="100"/>
      <c r="Q407" s="100"/>
      <c r="R407" s="100"/>
      <c r="S407" s="100"/>
      <c r="T407" s="100"/>
      <c r="U407" s="100"/>
      <c r="V407" s="100"/>
      <c r="W407" s="100"/>
      <c r="X407" s="100"/>
      <c r="Y407" s="100"/>
      <c r="Z407" s="293"/>
      <c r="AA407" s="293"/>
      <c r="AB407" s="293"/>
      <c r="AC407" s="293"/>
      <c r="AD407" s="293"/>
      <c r="AE407" s="293"/>
      <c r="AF407" s="293"/>
      <c r="AG407" s="293"/>
      <c r="AH407" s="293"/>
      <c r="AI407" s="293"/>
      <c r="AJ407" s="293"/>
      <c r="AK407" s="293"/>
      <c r="AL407" s="293"/>
      <c r="AM407" s="293"/>
      <c r="AN407" s="293"/>
      <c r="AO407" s="293"/>
      <c r="AP407" s="293"/>
      <c r="AQ407" s="293"/>
      <c r="AR407" s="293"/>
    </row>
    <row r="408" spans="3:44" x14ac:dyDescent="0.2">
      <c r="C408" s="100"/>
      <c r="D408" s="100"/>
      <c r="E408" s="100"/>
      <c r="F408" s="100"/>
      <c r="G408" s="100"/>
      <c r="H408" s="101"/>
      <c r="I408" s="100"/>
      <c r="J408" s="100"/>
      <c r="K408" s="100"/>
      <c r="L408" s="100"/>
      <c r="M408" s="101"/>
      <c r="N408" s="100"/>
      <c r="O408" s="100"/>
      <c r="P408" s="100"/>
      <c r="Q408" s="100"/>
      <c r="R408" s="100"/>
      <c r="S408" s="100"/>
      <c r="T408" s="100"/>
      <c r="U408" s="100"/>
      <c r="V408" s="100"/>
      <c r="W408" s="100"/>
      <c r="X408" s="100"/>
      <c r="Y408" s="100"/>
      <c r="Z408" s="293"/>
      <c r="AA408" s="293"/>
      <c r="AB408" s="293"/>
      <c r="AC408" s="293"/>
      <c r="AD408" s="293"/>
      <c r="AE408" s="293"/>
      <c r="AF408" s="293"/>
      <c r="AG408" s="293"/>
      <c r="AH408" s="293"/>
      <c r="AI408" s="293"/>
      <c r="AJ408" s="293"/>
      <c r="AK408" s="293"/>
      <c r="AL408" s="293"/>
      <c r="AM408" s="293"/>
      <c r="AN408" s="293"/>
      <c r="AO408" s="293"/>
      <c r="AP408" s="293"/>
      <c r="AQ408" s="293"/>
      <c r="AR408" s="293"/>
    </row>
    <row r="409" spans="3:44" x14ac:dyDescent="0.2">
      <c r="C409" s="100"/>
      <c r="D409" s="100"/>
      <c r="E409" s="100"/>
      <c r="F409" s="100"/>
      <c r="G409" s="100"/>
      <c r="H409" s="101"/>
      <c r="I409" s="100"/>
      <c r="J409" s="100"/>
      <c r="K409" s="100"/>
      <c r="L409" s="100"/>
      <c r="M409" s="101"/>
      <c r="N409" s="100"/>
      <c r="O409" s="100"/>
      <c r="P409" s="100"/>
      <c r="Q409" s="100"/>
      <c r="R409" s="100"/>
      <c r="S409" s="100"/>
      <c r="T409" s="100"/>
      <c r="U409" s="100"/>
      <c r="V409" s="100"/>
      <c r="W409" s="100"/>
      <c r="X409" s="100"/>
      <c r="Y409" s="100"/>
      <c r="Z409" s="293"/>
      <c r="AA409" s="293"/>
      <c r="AB409" s="293"/>
      <c r="AC409" s="293"/>
      <c r="AD409" s="293"/>
      <c r="AE409" s="293"/>
      <c r="AF409" s="293"/>
      <c r="AG409" s="293"/>
      <c r="AH409" s="293"/>
      <c r="AI409" s="293"/>
      <c r="AJ409" s="293"/>
      <c r="AK409" s="293"/>
      <c r="AL409" s="293"/>
      <c r="AM409" s="293"/>
      <c r="AN409" s="293"/>
      <c r="AO409" s="293"/>
      <c r="AP409" s="293"/>
      <c r="AQ409" s="293"/>
      <c r="AR409" s="293"/>
    </row>
    <row r="410" spans="3:44" x14ac:dyDescent="0.2">
      <c r="C410" s="100"/>
      <c r="D410" s="100"/>
      <c r="E410" s="100"/>
      <c r="F410" s="100"/>
      <c r="G410" s="100"/>
      <c r="H410" s="101"/>
      <c r="I410" s="100"/>
      <c r="J410" s="100"/>
      <c r="K410" s="100"/>
      <c r="L410" s="100"/>
      <c r="M410" s="101"/>
      <c r="N410" s="100"/>
      <c r="O410" s="100"/>
      <c r="P410" s="100"/>
      <c r="Q410" s="100"/>
      <c r="R410" s="100"/>
      <c r="S410" s="100"/>
      <c r="T410" s="100"/>
      <c r="U410" s="100"/>
      <c r="V410" s="100"/>
      <c r="W410" s="100"/>
      <c r="X410" s="100"/>
      <c r="Y410" s="100"/>
      <c r="Z410" s="293"/>
      <c r="AA410" s="293"/>
      <c r="AB410" s="293"/>
      <c r="AC410" s="293"/>
      <c r="AD410" s="293"/>
      <c r="AE410" s="293"/>
      <c r="AF410" s="293"/>
      <c r="AG410" s="293"/>
      <c r="AH410" s="293"/>
      <c r="AI410" s="293"/>
      <c r="AJ410" s="293"/>
      <c r="AK410" s="293"/>
      <c r="AL410" s="293"/>
      <c r="AM410" s="293"/>
      <c r="AN410" s="293"/>
      <c r="AO410" s="293"/>
      <c r="AP410" s="293"/>
      <c r="AQ410" s="293"/>
      <c r="AR410" s="293"/>
    </row>
    <row r="411" spans="3:44" x14ac:dyDescent="0.2">
      <c r="C411" s="100"/>
      <c r="D411" s="100"/>
      <c r="E411" s="100"/>
      <c r="F411" s="100"/>
      <c r="G411" s="100"/>
      <c r="H411" s="101"/>
      <c r="I411" s="100"/>
      <c r="J411" s="100"/>
      <c r="K411" s="100"/>
      <c r="L411" s="100"/>
      <c r="M411" s="101"/>
      <c r="N411" s="100"/>
      <c r="O411" s="100"/>
      <c r="P411" s="100"/>
      <c r="Q411" s="100"/>
      <c r="R411" s="100"/>
      <c r="S411" s="100"/>
      <c r="T411" s="100"/>
      <c r="U411" s="100"/>
      <c r="V411" s="100"/>
      <c r="W411" s="100"/>
      <c r="X411" s="100"/>
      <c r="Y411" s="100"/>
      <c r="Z411" s="293"/>
      <c r="AA411" s="293"/>
      <c r="AB411" s="293"/>
      <c r="AC411" s="293"/>
      <c r="AD411" s="293"/>
      <c r="AE411" s="293"/>
      <c r="AF411" s="293"/>
      <c r="AG411" s="293"/>
      <c r="AH411" s="293"/>
      <c r="AI411" s="293"/>
      <c r="AJ411" s="293"/>
      <c r="AK411" s="293"/>
      <c r="AL411" s="293"/>
      <c r="AM411" s="293"/>
      <c r="AN411" s="293"/>
      <c r="AO411" s="293"/>
      <c r="AP411" s="293"/>
      <c r="AQ411" s="293"/>
      <c r="AR411" s="293"/>
    </row>
    <row r="412" spans="3:44" x14ac:dyDescent="0.2">
      <c r="C412" s="100"/>
      <c r="D412" s="100"/>
      <c r="E412" s="100"/>
      <c r="F412" s="100"/>
      <c r="G412" s="100"/>
      <c r="H412" s="101"/>
      <c r="I412" s="100"/>
      <c r="J412" s="100"/>
      <c r="K412" s="100"/>
      <c r="L412" s="100"/>
      <c r="M412" s="101"/>
      <c r="N412" s="100"/>
      <c r="O412" s="100"/>
      <c r="P412" s="100"/>
      <c r="Q412" s="100"/>
      <c r="R412" s="100"/>
      <c r="S412" s="100"/>
      <c r="T412" s="100"/>
      <c r="U412" s="100"/>
      <c r="V412" s="100"/>
      <c r="W412" s="100"/>
      <c r="X412" s="100"/>
      <c r="Y412" s="100"/>
      <c r="Z412" s="293"/>
      <c r="AA412" s="293"/>
      <c r="AB412" s="293"/>
      <c r="AC412" s="293"/>
      <c r="AD412" s="293"/>
      <c r="AE412" s="293"/>
      <c r="AF412" s="293"/>
      <c r="AG412" s="293"/>
      <c r="AH412" s="293"/>
      <c r="AI412" s="293"/>
      <c r="AJ412" s="293"/>
      <c r="AK412" s="293"/>
      <c r="AL412" s="293"/>
      <c r="AM412" s="293"/>
      <c r="AN412" s="293"/>
      <c r="AO412" s="293"/>
      <c r="AP412" s="293"/>
      <c r="AQ412" s="293"/>
      <c r="AR412" s="293"/>
    </row>
    <row r="413" spans="3:44" x14ac:dyDescent="0.2">
      <c r="C413" s="100"/>
      <c r="D413" s="100"/>
      <c r="E413" s="100"/>
      <c r="F413" s="100"/>
      <c r="G413" s="100"/>
      <c r="H413" s="101"/>
      <c r="I413" s="100"/>
      <c r="J413" s="100"/>
      <c r="K413" s="100"/>
      <c r="L413" s="100"/>
      <c r="M413" s="101"/>
      <c r="N413" s="100"/>
      <c r="O413" s="100"/>
      <c r="P413" s="100"/>
      <c r="Q413" s="100"/>
      <c r="R413" s="100"/>
      <c r="S413" s="100"/>
      <c r="T413" s="100"/>
      <c r="U413" s="100"/>
      <c r="V413" s="100"/>
      <c r="W413" s="100"/>
      <c r="X413" s="100"/>
      <c r="Y413" s="100"/>
      <c r="Z413" s="293"/>
      <c r="AA413" s="293"/>
      <c r="AB413" s="293"/>
      <c r="AC413" s="293"/>
      <c r="AD413" s="293"/>
      <c r="AE413" s="293"/>
      <c r="AF413" s="293"/>
    </row>
    <row r="414" spans="3:44" x14ac:dyDescent="0.2">
      <c r="C414" s="100"/>
      <c r="D414" s="100"/>
      <c r="E414" s="100"/>
      <c r="F414" s="100"/>
      <c r="G414" s="100"/>
      <c r="H414" s="101"/>
      <c r="I414" s="100"/>
      <c r="J414" s="100"/>
      <c r="K414" s="100"/>
      <c r="L414" s="100"/>
      <c r="M414" s="101"/>
      <c r="N414" s="100"/>
      <c r="O414" s="100"/>
      <c r="P414" s="100"/>
      <c r="Q414" s="100"/>
      <c r="R414" s="100"/>
      <c r="S414" s="100"/>
      <c r="T414" s="100"/>
      <c r="U414" s="100"/>
      <c r="V414" s="100"/>
      <c r="W414" s="100"/>
      <c r="X414" s="100"/>
      <c r="Y414" s="100"/>
      <c r="Z414" s="293"/>
      <c r="AA414" s="293"/>
      <c r="AB414" s="293"/>
      <c r="AC414" s="293"/>
      <c r="AD414" s="293"/>
      <c r="AE414" s="293"/>
      <c r="AF414" s="293"/>
    </row>
    <row r="415" spans="3:44" x14ac:dyDescent="0.2">
      <c r="C415" s="100"/>
      <c r="D415" s="100"/>
      <c r="E415" s="100"/>
      <c r="F415" s="100"/>
      <c r="G415" s="100"/>
      <c r="H415" s="101"/>
      <c r="I415" s="100"/>
      <c r="J415" s="100"/>
      <c r="K415" s="100"/>
      <c r="L415" s="100"/>
      <c r="M415" s="101"/>
      <c r="N415" s="100"/>
      <c r="O415" s="100"/>
      <c r="P415" s="100"/>
      <c r="Q415" s="100"/>
      <c r="R415" s="100"/>
      <c r="S415" s="100"/>
      <c r="T415" s="100"/>
      <c r="U415" s="100"/>
      <c r="V415" s="100"/>
      <c r="W415" s="100"/>
      <c r="X415" s="100"/>
      <c r="Y415" s="100"/>
      <c r="Z415" s="293"/>
      <c r="AA415" s="293"/>
      <c r="AB415" s="293"/>
      <c r="AC415" s="293"/>
      <c r="AD415" s="293"/>
      <c r="AE415" s="293"/>
      <c r="AF415" s="293"/>
    </row>
    <row r="416" spans="3:44" x14ac:dyDescent="0.2">
      <c r="C416" s="100"/>
      <c r="D416" s="100"/>
      <c r="E416" s="100"/>
      <c r="F416" s="100"/>
      <c r="G416" s="100"/>
      <c r="H416" s="101"/>
      <c r="I416" s="100"/>
      <c r="J416" s="100"/>
      <c r="K416" s="100"/>
      <c r="L416" s="100"/>
      <c r="M416" s="101"/>
      <c r="N416" s="100"/>
      <c r="O416" s="100"/>
      <c r="P416" s="100"/>
      <c r="Q416" s="100"/>
      <c r="R416" s="100"/>
      <c r="S416" s="100"/>
      <c r="T416" s="100"/>
      <c r="U416" s="100"/>
      <c r="V416" s="100"/>
      <c r="W416" s="100"/>
      <c r="X416" s="100"/>
      <c r="Y416" s="100"/>
      <c r="Z416" s="293"/>
      <c r="AA416" s="293"/>
      <c r="AB416" s="293"/>
      <c r="AC416" s="293"/>
      <c r="AD416" s="293"/>
      <c r="AE416" s="293"/>
      <c r="AF416" s="293"/>
    </row>
    <row r="417" spans="3:32" x14ac:dyDescent="0.2">
      <c r="C417" s="100"/>
      <c r="D417" s="100"/>
      <c r="E417" s="100"/>
      <c r="F417" s="100"/>
      <c r="G417" s="100"/>
      <c r="H417" s="101"/>
      <c r="I417" s="100"/>
      <c r="J417" s="100"/>
      <c r="K417" s="100"/>
      <c r="L417" s="100"/>
      <c r="M417" s="101"/>
      <c r="N417" s="100"/>
      <c r="O417" s="100"/>
      <c r="P417" s="100"/>
      <c r="Q417" s="100"/>
      <c r="R417" s="100"/>
      <c r="S417" s="100"/>
      <c r="T417" s="100"/>
      <c r="U417" s="100"/>
      <c r="V417" s="100"/>
      <c r="W417" s="100"/>
      <c r="X417" s="100"/>
      <c r="Y417" s="100"/>
      <c r="Z417" s="293"/>
      <c r="AA417" s="293"/>
      <c r="AB417" s="293"/>
      <c r="AC417" s="293"/>
      <c r="AD417" s="293"/>
      <c r="AE417" s="293"/>
      <c r="AF417" s="293"/>
    </row>
    <row r="418" spans="3:32" x14ac:dyDescent="0.2">
      <c r="C418" s="100"/>
      <c r="D418" s="100"/>
      <c r="E418" s="100"/>
      <c r="F418" s="100"/>
      <c r="G418" s="100"/>
      <c r="H418" s="101"/>
      <c r="I418" s="100"/>
      <c r="J418" s="100"/>
      <c r="K418" s="100"/>
      <c r="L418" s="100"/>
      <c r="M418" s="101"/>
      <c r="N418" s="100"/>
      <c r="O418" s="100"/>
      <c r="P418" s="100"/>
      <c r="Q418" s="100"/>
      <c r="R418" s="100"/>
      <c r="S418" s="100"/>
      <c r="T418" s="100"/>
      <c r="U418" s="100"/>
      <c r="V418" s="100"/>
      <c r="W418" s="100"/>
      <c r="X418" s="100"/>
      <c r="Y418" s="100"/>
      <c r="Z418" s="293"/>
      <c r="AA418" s="293"/>
      <c r="AB418" s="293"/>
      <c r="AC418" s="293"/>
      <c r="AD418" s="293"/>
      <c r="AE418" s="293"/>
      <c r="AF418" s="293"/>
    </row>
    <row r="419" spans="3:32" x14ac:dyDescent="0.2">
      <c r="C419" s="100"/>
      <c r="D419" s="100"/>
      <c r="E419" s="100"/>
      <c r="F419" s="100"/>
      <c r="G419" s="100"/>
      <c r="H419" s="101"/>
      <c r="I419" s="100"/>
      <c r="J419" s="100"/>
      <c r="K419" s="100"/>
      <c r="L419" s="100"/>
      <c r="M419" s="101"/>
      <c r="N419" s="100"/>
      <c r="O419" s="100"/>
      <c r="P419" s="100"/>
      <c r="Q419" s="100"/>
      <c r="R419" s="100"/>
      <c r="S419" s="100"/>
      <c r="T419" s="100"/>
      <c r="U419" s="100"/>
      <c r="V419" s="100"/>
      <c r="W419" s="100"/>
      <c r="X419" s="100"/>
      <c r="Y419" s="100"/>
      <c r="Z419" s="293"/>
      <c r="AA419" s="293"/>
      <c r="AB419" s="293"/>
      <c r="AC419" s="293"/>
      <c r="AD419" s="293"/>
      <c r="AE419" s="293"/>
      <c r="AF419" s="293"/>
    </row>
    <row r="420" spans="3:32" x14ac:dyDescent="0.2">
      <c r="C420" s="100"/>
      <c r="D420" s="100"/>
      <c r="E420" s="100"/>
      <c r="F420" s="100"/>
      <c r="G420" s="100"/>
      <c r="H420" s="101"/>
      <c r="I420" s="100"/>
      <c r="J420" s="100"/>
      <c r="K420" s="100"/>
      <c r="L420" s="100"/>
      <c r="M420" s="101"/>
      <c r="N420" s="100"/>
      <c r="O420" s="100"/>
      <c r="P420" s="100"/>
      <c r="Q420" s="100"/>
      <c r="R420" s="100"/>
      <c r="S420" s="100"/>
      <c r="T420" s="100"/>
      <c r="U420" s="100"/>
      <c r="V420" s="100"/>
      <c r="W420" s="100"/>
      <c r="X420" s="100"/>
      <c r="Y420" s="100"/>
      <c r="Z420" s="293"/>
      <c r="AA420" s="293"/>
      <c r="AB420" s="293"/>
      <c r="AC420" s="293"/>
      <c r="AD420" s="293"/>
      <c r="AE420" s="293"/>
      <c r="AF420" s="293"/>
    </row>
    <row r="421" spans="3:32" x14ac:dyDescent="0.2">
      <c r="C421" s="100"/>
      <c r="D421" s="100"/>
      <c r="E421" s="100"/>
      <c r="F421" s="100"/>
      <c r="G421" s="100"/>
      <c r="H421" s="101"/>
      <c r="I421" s="100"/>
      <c r="J421" s="100"/>
      <c r="K421" s="100"/>
      <c r="L421" s="100"/>
      <c r="M421" s="101"/>
      <c r="N421" s="100"/>
      <c r="O421" s="100"/>
      <c r="P421" s="100"/>
      <c r="Q421" s="100"/>
      <c r="R421" s="100"/>
      <c r="S421" s="100"/>
      <c r="T421" s="100"/>
      <c r="U421" s="100"/>
      <c r="V421" s="100"/>
      <c r="W421" s="100"/>
      <c r="X421" s="100"/>
      <c r="Y421" s="100"/>
      <c r="Z421" s="293"/>
      <c r="AA421" s="293"/>
      <c r="AB421" s="293"/>
      <c r="AC421" s="293"/>
      <c r="AD421" s="293"/>
      <c r="AE421" s="293"/>
      <c r="AF421" s="293"/>
    </row>
    <row r="422" spans="3:32" x14ac:dyDescent="0.2">
      <c r="C422" s="100"/>
      <c r="D422" s="100"/>
      <c r="E422" s="100"/>
      <c r="F422" s="100"/>
      <c r="G422" s="100"/>
      <c r="H422" s="101"/>
      <c r="I422" s="100"/>
      <c r="J422" s="100"/>
      <c r="K422" s="100"/>
      <c r="L422" s="100"/>
      <c r="M422" s="101"/>
      <c r="N422" s="100"/>
      <c r="O422" s="100"/>
      <c r="P422" s="100"/>
      <c r="Q422" s="100"/>
      <c r="R422" s="100"/>
      <c r="S422" s="100"/>
      <c r="T422" s="100"/>
      <c r="U422" s="100"/>
      <c r="V422" s="100"/>
      <c r="W422" s="100"/>
      <c r="X422" s="100"/>
      <c r="Y422" s="100"/>
      <c r="Z422" s="293"/>
      <c r="AA422" s="293"/>
      <c r="AB422" s="293"/>
      <c r="AC422" s="293"/>
      <c r="AD422" s="293"/>
      <c r="AE422" s="293"/>
      <c r="AF422" s="293"/>
    </row>
    <row r="423" spans="3:32" x14ac:dyDescent="0.2">
      <c r="C423" s="100"/>
      <c r="D423" s="100"/>
      <c r="E423" s="100"/>
      <c r="F423" s="100"/>
      <c r="G423" s="100"/>
      <c r="H423" s="101"/>
      <c r="I423" s="100"/>
      <c r="J423" s="100"/>
      <c r="K423" s="100"/>
      <c r="L423" s="100"/>
      <c r="M423" s="101"/>
      <c r="N423" s="100"/>
      <c r="O423" s="100"/>
      <c r="P423" s="100"/>
      <c r="Q423" s="100"/>
      <c r="R423" s="100"/>
      <c r="S423" s="100"/>
      <c r="T423" s="100"/>
      <c r="U423" s="100"/>
      <c r="V423" s="100"/>
      <c r="W423" s="100"/>
      <c r="X423" s="100"/>
      <c r="Y423" s="100"/>
      <c r="Z423" s="293"/>
      <c r="AA423" s="293"/>
      <c r="AB423" s="293"/>
      <c r="AC423" s="293"/>
      <c r="AD423" s="293"/>
      <c r="AE423" s="293"/>
      <c r="AF423" s="293"/>
    </row>
    <row r="424" spans="3:32" x14ac:dyDescent="0.2">
      <c r="C424" s="100"/>
      <c r="D424" s="100"/>
      <c r="E424" s="100"/>
      <c r="F424" s="100"/>
      <c r="G424" s="100"/>
      <c r="H424" s="101"/>
      <c r="I424" s="100"/>
      <c r="J424" s="100"/>
      <c r="K424" s="100"/>
      <c r="L424" s="100"/>
      <c r="M424" s="101"/>
      <c r="N424" s="100"/>
      <c r="O424" s="100"/>
      <c r="P424" s="100"/>
      <c r="Q424" s="100"/>
      <c r="R424" s="100"/>
      <c r="S424" s="100"/>
      <c r="T424" s="100"/>
      <c r="U424" s="100"/>
      <c r="V424" s="100"/>
      <c r="W424" s="100"/>
      <c r="X424" s="100"/>
      <c r="Y424" s="100"/>
      <c r="Z424" s="293"/>
      <c r="AA424" s="293"/>
      <c r="AB424" s="293"/>
      <c r="AC424" s="293"/>
      <c r="AD424" s="293"/>
      <c r="AE424" s="293"/>
      <c r="AF424" s="293"/>
    </row>
    <row r="425" spans="3:32" x14ac:dyDescent="0.2">
      <c r="C425" s="100"/>
      <c r="D425" s="100"/>
      <c r="E425" s="100"/>
      <c r="F425" s="100"/>
      <c r="G425" s="100"/>
      <c r="H425" s="101"/>
      <c r="I425" s="100"/>
      <c r="J425" s="100"/>
      <c r="K425" s="100"/>
      <c r="L425" s="100"/>
      <c r="M425" s="101"/>
      <c r="N425" s="100"/>
      <c r="O425" s="100"/>
      <c r="P425" s="100"/>
      <c r="Q425" s="100"/>
      <c r="R425" s="100"/>
      <c r="S425" s="100"/>
      <c r="T425" s="100"/>
      <c r="U425" s="100"/>
      <c r="V425" s="100"/>
      <c r="W425" s="100"/>
      <c r="X425" s="100"/>
      <c r="Y425" s="100"/>
      <c r="Z425" s="293"/>
      <c r="AA425" s="293"/>
      <c r="AB425" s="293"/>
      <c r="AC425" s="293"/>
      <c r="AD425" s="293"/>
      <c r="AE425" s="293"/>
      <c r="AF425" s="293"/>
    </row>
    <row r="426" spans="3:32" x14ac:dyDescent="0.2">
      <c r="C426" s="100"/>
      <c r="D426" s="100"/>
      <c r="E426" s="100"/>
      <c r="F426" s="100"/>
      <c r="G426" s="100"/>
      <c r="H426" s="101"/>
      <c r="I426" s="100"/>
      <c r="J426" s="100"/>
      <c r="K426" s="100"/>
      <c r="L426" s="100"/>
      <c r="M426" s="101"/>
      <c r="N426" s="100"/>
      <c r="O426" s="100"/>
      <c r="P426" s="100"/>
      <c r="Q426" s="100"/>
      <c r="R426" s="100"/>
      <c r="S426" s="100"/>
      <c r="T426" s="100"/>
      <c r="U426" s="100"/>
      <c r="V426" s="100"/>
      <c r="W426" s="100"/>
      <c r="X426" s="100"/>
      <c r="Y426" s="100"/>
      <c r="Z426" s="293"/>
      <c r="AA426" s="293"/>
      <c r="AB426" s="293"/>
      <c r="AC426" s="293"/>
      <c r="AD426" s="293"/>
      <c r="AE426" s="293"/>
      <c r="AF426" s="293"/>
    </row>
    <row r="427" spans="3:32" x14ac:dyDescent="0.2">
      <c r="C427" s="100"/>
      <c r="D427" s="100"/>
      <c r="E427" s="100"/>
      <c r="F427" s="100"/>
      <c r="G427" s="100"/>
      <c r="H427" s="101"/>
      <c r="I427" s="100"/>
      <c r="J427" s="100"/>
      <c r="K427" s="100"/>
      <c r="L427" s="100"/>
      <c r="M427" s="101"/>
      <c r="N427" s="100"/>
      <c r="O427" s="100"/>
      <c r="P427" s="100"/>
      <c r="Q427" s="100"/>
      <c r="R427" s="100"/>
      <c r="S427" s="100"/>
      <c r="T427" s="100"/>
      <c r="U427" s="100"/>
      <c r="V427" s="100"/>
      <c r="W427" s="100"/>
      <c r="X427" s="100"/>
      <c r="Y427" s="100"/>
      <c r="Z427" s="293"/>
      <c r="AA427" s="293"/>
      <c r="AB427" s="293"/>
      <c r="AC427" s="293"/>
      <c r="AD427" s="293"/>
      <c r="AE427" s="293"/>
      <c r="AF427" s="293"/>
    </row>
    <row r="428" spans="3:32" x14ac:dyDescent="0.2">
      <c r="C428" s="100"/>
      <c r="D428" s="100"/>
      <c r="E428" s="100"/>
      <c r="F428" s="100"/>
      <c r="G428" s="100"/>
      <c r="H428" s="101"/>
      <c r="I428" s="100"/>
      <c r="J428" s="100"/>
      <c r="K428" s="100"/>
      <c r="L428" s="100"/>
      <c r="M428" s="101"/>
      <c r="N428" s="100"/>
      <c r="O428" s="100"/>
      <c r="P428" s="100"/>
      <c r="Q428" s="100"/>
      <c r="R428" s="100"/>
      <c r="S428" s="100"/>
      <c r="T428" s="100"/>
      <c r="U428" s="100"/>
      <c r="V428" s="100"/>
      <c r="W428" s="100"/>
      <c r="X428" s="100"/>
      <c r="Y428" s="100"/>
      <c r="Z428" s="293"/>
      <c r="AA428" s="293"/>
      <c r="AB428" s="293"/>
      <c r="AC428" s="293"/>
      <c r="AD428" s="293"/>
      <c r="AE428" s="293"/>
      <c r="AF428" s="293"/>
    </row>
    <row r="429" spans="3:32" x14ac:dyDescent="0.2">
      <c r="C429" s="100"/>
      <c r="D429" s="100"/>
      <c r="E429" s="100"/>
      <c r="F429" s="100"/>
      <c r="G429" s="100"/>
      <c r="H429" s="101"/>
      <c r="I429" s="100"/>
      <c r="J429" s="100"/>
      <c r="K429" s="100"/>
      <c r="L429" s="100"/>
      <c r="M429" s="101"/>
      <c r="N429" s="100"/>
      <c r="O429" s="100"/>
      <c r="P429" s="100"/>
      <c r="Q429" s="100"/>
      <c r="R429" s="100"/>
      <c r="S429" s="100"/>
      <c r="T429" s="100"/>
      <c r="U429" s="100"/>
      <c r="V429" s="100"/>
      <c r="W429" s="100"/>
      <c r="X429" s="100"/>
      <c r="Y429" s="100"/>
      <c r="Z429" s="293"/>
      <c r="AA429" s="293"/>
      <c r="AB429" s="293"/>
      <c r="AC429" s="293"/>
      <c r="AD429" s="293"/>
      <c r="AE429" s="293"/>
      <c r="AF429" s="293"/>
    </row>
    <row r="430" spans="3:32" x14ac:dyDescent="0.2">
      <c r="C430" s="100"/>
      <c r="D430" s="100"/>
      <c r="E430" s="100"/>
      <c r="F430" s="100"/>
      <c r="G430" s="100"/>
      <c r="H430" s="101"/>
      <c r="I430" s="100"/>
      <c r="J430" s="100"/>
      <c r="K430" s="100"/>
      <c r="L430" s="100"/>
      <c r="M430" s="101"/>
      <c r="N430" s="100"/>
      <c r="O430" s="100"/>
      <c r="P430" s="100"/>
      <c r="Q430" s="100"/>
      <c r="R430" s="100"/>
      <c r="S430" s="100"/>
      <c r="T430" s="100"/>
      <c r="U430" s="100"/>
      <c r="V430" s="100"/>
      <c r="W430" s="100"/>
      <c r="X430" s="100"/>
      <c r="Y430" s="100"/>
      <c r="Z430" s="293"/>
      <c r="AA430" s="293"/>
      <c r="AB430" s="293"/>
      <c r="AC430" s="293"/>
      <c r="AD430" s="293"/>
      <c r="AE430" s="293"/>
      <c r="AF430" s="293"/>
    </row>
    <row r="431" spans="3:32" x14ac:dyDescent="0.2">
      <c r="C431" s="100"/>
      <c r="D431" s="100"/>
      <c r="E431" s="100"/>
      <c r="F431" s="100"/>
      <c r="G431" s="100"/>
      <c r="H431" s="101"/>
      <c r="I431" s="100"/>
      <c r="J431" s="100"/>
      <c r="K431" s="100"/>
      <c r="L431" s="100"/>
      <c r="M431" s="101"/>
      <c r="N431" s="100"/>
      <c r="O431" s="100"/>
      <c r="P431" s="100"/>
      <c r="Q431" s="100"/>
      <c r="R431" s="100"/>
      <c r="S431" s="100"/>
      <c r="T431" s="100"/>
      <c r="U431" s="100"/>
      <c r="V431" s="100"/>
      <c r="W431" s="100"/>
      <c r="X431" s="100"/>
      <c r="Y431" s="100"/>
      <c r="Z431" s="293"/>
      <c r="AA431" s="293"/>
      <c r="AB431" s="293"/>
      <c r="AC431" s="293"/>
      <c r="AD431" s="293"/>
      <c r="AE431" s="293"/>
      <c r="AF431" s="293"/>
    </row>
    <row r="432" spans="3:32" x14ac:dyDescent="0.2">
      <c r="C432" s="100"/>
      <c r="D432" s="100"/>
      <c r="E432" s="100"/>
      <c r="F432" s="100"/>
      <c r="G432" s="100"/>
      <c r="H432" s="101"/>
      <c r="I432" s="100"/>
      <c r="J432" s="100"/>
      <c r="K432" s="100"/>
      <c r="L432" s="100"/>
      <c r="M432" s="101"/>
      <c r="N432" s="100"/>
      <c r="O432" s="100"/>
      <c r="P432" s="100"/>
      <c r="Q432" s="100"/>
      <c r="R432" s="100"/>
      <c r="S432" s="100"/>
      <c r="T432" s="100"/>
      <c r="U432" s="100"/>
      <c r="V432" s="100"/>
      <c r="W432" s="100"/>
      <c r="X432" s="100"/>
      <c r="Y432" s="100"/>
      <c r="Z432" s="293"/>
      <c r="AA432" s="293"/>
      <c r="AB432" s="293"/>
      <c r="AC432" s="293"/>
      <c r="AD432" s="293"/>
      <c r="AE432" s="293"/>
      <c r="AF432" s="293"/>
    </row>
    <row r="433" spans="3:32" x14ac:dyDescent="0.2">
      <c r="C433" s="100"/>
      <c r="D433" s="100"/>
      <c r="E433" s="100"/>
      <c r="F433" s="100"/>
      <c r="G433" s="100"/>
      <c r="H433" s="101"/>
      <c r="I433" s="100"/>
      <c r="J433" s="100"/>
      <c r="K433" s="100"/>
      <c r="L433" s="100"/>
      <c r="M433" s="101"/>
      <c r="N433" s="100"/>
      <c r="O433" s="100"/>
      <c r="P433" s="100"/>
      <c r="Q433" s="100"/>
      <c r="R433" s="100"/>
      <c r="S433" s="100"/>
      <c r="T433" s="100"/>
      <c r="U433" s="100"/>
      <c r="V433" s="100"/>
      <c r="W433" s="100"/>
      <c r="X433" s="100"/>
      <c r="Y433" s="100"/>
      <c r="Z433" s="293"/>
      <c r="AA433" s="293"/>
      <c r="AB433" s="293"/>
      <c r="AC433" s="293"/>
      <c r="AD433" s="293"/>
      <c r="AE433" s="293"/>
      <c r="AF433" s="293"/>
    </row>
    <row r="434" spans="3:32" x14ac:dyDescent="0.2">
      <c r="C434" s="100"/>
      <c r="D434" s="100"/>
      <c r="E434" s="100"/>
      <c r="F434" s="100"/>
      <c r="G434" s="100"/>
      <c r="H434" s="101"/>
      <c r="I434" s="100"/>
      <c r="J434" s="100"/>
      <c r="K434" s="100"/>
      <c r="L434" s="100"/>
      <c r="M434" s="101"/>
      <c r="N434" s="100"/>
      <c r="O434" s="100"/>
      <c r="P434" s="100"/>
      <c r="Q434" s="100"/>
      <c r="R434" s="100"/>
      <c r="S434" s="100"/>
      <c r="T434" s="100"/>
      <c r="U434" s="100"/>
      <c r="V434" s="100"/>
      <c r="W434" s="100"/>
      <c r="X434" s="100"/>
      <c r="Y434" s="100"/>
      <c r="Z434" s="293"/>
      <c r="AA434" s="293"/>
      <c r="AB434" s="293"/>
      <c r="AC434" s="293"/>
      <c r="AD434" s="293"/>
      <c r="AE434" s="293"/>
      <c r="AF434" s="293"/>
    </row>
    <row r="435" spans="3:32" x14ac:dyDescent="0.2">
      <c r="C435" s="100"/>
      <c r="D435" s="100"/>
      <c r="E435" s="100"/>
      <c r="F435" s="100"/>
      <c r="G435" s="100"/>
      <c r="H435" s="101"/>
      <c r="I435" s="100"/>
      <c r="J435" s="100"/>
      <c r="K435" s="100"/>
      <c r="L435" s="100"/>
      <c r="M435" s="101"/>
      <c r="N435" s="100"/>
      <c r="O435" s="100"/>
      <c r="P435" s="100"/>
      <c r="Q435" s="100"/>
      <c r="R435" s="100"/>
      <c r="S435" s="100"/>
      <c r="T435" s="100"/>
      <c r="U435" s="100"/>
      <c r="V435" s="100"/>
      <c r="W435" s="100"/>
      <c r="X435" s="100"/>
      <c r="Y435" s="100"/>
      <c r="Z435" s="293"/>
      <c r="AA435" s="293"/>
      <c r="AB435" s="293"/>
      <c r="AC435" s="293"/>
      <c r="AD435" s="293"/>
      <c r="AE435" s="293"/>
      <c r="AF435" s="293"/>
    </row>
    <row r="436" spans="3:32" x14ac:dyDescent="0.2">
      <c r="C436" s="100"/>
      <c r="D436" s="100"/>
      <c r="E436" s="100"/>
      <c r="F436" s="100"/>
      <c r="G436" s="100"/>
      <c r="H436" s="101"/>
      <c r="I436" s="100"/>
      <c r="J436" s="100"/>
      <c r="K436" s="100"/>
      <c r="L436" s="100"/>
      <c r="M436" s="101"/>
      <c r="N436" s="100"/>
      <c r="O436" s="100"/>
      <c r="P436" s="100"/>
      <c r="Q436" s="100"/>
      <c r="R436" s="100"/>
      <c r="S436" s="100"/>
      <c r="T436" s="100"/>
      <c r="U436" s="100"/>
      <c r="V436" s="100"/>
      <c r="W436" s="100"/>
      <c r="X436" s="100"/>
      <c r="Y436" s="100"/>
      <c r="Z436" s="293"/>
      <c r="AA436" s="293"/>
      <c r="AB436" s="293"/>
      <c r="AC436" s="293"/>
      <c r="AD436" s="293"/>
      <c r="AE436" s="293"/>
      <c r="AF436" s="293"/>
    </row>
    <row r="437" spans="3:32" x14ac:dyDescent="0.2">
      <c r="C437" s="100"/>
      <c r="D437" s="100"/>
      <c r="E437" s="100"/>
      <c r="F437" s="100"/>
      <c r="G437" s="100"/>
      <c r="H437" s="101"/>
      <c r="I437" s="100"/>
      <c r="J437" s="100"/>
      <c r="K437" s="100"/>
      <c r="L437" s="100"/>
      <c r="M437" s="101"/>
      <c r="N437" s="100"/>
      <c r="O437" s="100"/>
      <c r="P437" s="100"/>
      <c r="Q437" s="100"/>
      <c r="R437" s="100"/>
      <c r="S437" s="100"/>
      <c r="T437" s="100"/>
      <c r="U437" s="100"/>
      <c r="V437" s="100"/>
      <c r="W437" s="100"/>
      <c r="X437" s="100"/>
      <c r="Y437" s="100"/>
      <c r="Z437" s="293"/>
      <c r="AA437" s="293"/>
      <c r="AB437" s="293"/>
      <c r="AC437" s="293"/>
      <c r="AD437" s="293"/>
      <c r="AE437" s="293"/>
      <c r="AF437" s="293"/>
    </row>
    <row r="438" spans="3:32" x14ac:dyDescent="0.2">
      <c r="C438" s="100"/>
      <c r="D438" s="100"/>
      <c r="E438" s="100"/>
      <c r="F438" s="100"/>
      <c r="G438" s="100"/>
      <c r="H438" s="101"/>
      <c r="I438" s="100"/>
      <c r="J438" s="100"/>
      <c r="K438" s="100"/>
      <c r="L438" s="100"/>
      <c r="M438" s="101"/>
      <c r="N438" s="100"/>
      <c r="O438" s="100"/>
      <c r="P438" s="100"/>
      <c r="Q438" s="100"/>
      <c r="R438" s="100"/>
      <c r="S438" s="100"/>
      <c r="T438" s="100"/>
      <c r="U438" s="100"/>
      <c r="V438" s="100"/>
      <c r="W438" s="100"/>
      <c r="X438" s="100"/>
      <c r="Y438" s="100"/>
      <c r="Z438" s="293"/>
      <c r="AA438" s="293"/>
      <c r="AB438" s="293"/>
      <c r="AC438" s="293"/>
      <c r="AD438" s="293"/>
      <c r="AE438" s="293"/>
      <c r="AF438" s="293"/>
    </row>
    <row r="439" spans="3:32" x14ac:dyDescent="0.2">
      <c r="C439" s="100"/>
      <c r="D439" s="100"/>
      <c r="E439" s="100"/>
      <c r="F439" s="100"/>
      <c r="G439" s="100"/>
      <c r="H439" s="101"/>
      <c r="I439" s="100"/>
      <c r="J439" s="100"/>
      <c r="K439" s="100"/>
      <c r="L439" s="100"/>
      <c r="M439" s="101"/>
      <c r="N439" s="100"/>
      <c r="O439" s="100"/>
      <c r="P439" s="100"/>
      <c r="Q439" s="100"/>
      <c r="R439" s="100"/>
      <c r="S439" s="100"/>
      <c r="T439" s="100"/>
      <c r="U439" s="100"/>
      <c r="V439" s="100"/>
      <c r="W439" s="100"/>
      <c r="X439" s="100"/>
      <c r="Y439" s="100"/>
      <c r="Z439" s="293"/>
      <c r="AA439" s="293"/>
      <c r="AB439" s="293"/>
      <c r="AC439" s="293"/>
      <c r="AD439" s="293"/>
      <c r="AE439" s="293"/>
      <c r="AF439" s="293"/>
    </row>
    <row r="440" spans="3:32" x14ac:dyDescent="0.2">
      <c r="C440" s="100"/>
      <c r="D440" s="100"/>
      <c r="E440" s="100"/>
      <c r="F440" s="100"/>
      <c r="G440" s="100"/>
      <c r="H440" s="101"/>
      <c r="I440" s="100"/>
      <c r="J440" s="100"/>
      <c r="K440" s="100"/>
      <c r="L440" s="100"/>
      <c r="M440" s="101"/>
      <c r="N440" s="100"/>
      <c r="O440" s="100"/>
      <c r="P440" s="100"/>
      <c r="Q440" s="100"/>
      <c r="R440" s="100"/>
      <c r="S440" s="100"/>
      <c r="T440" s="100"/>
      <c r="U440" s="100"/>
      <c r="V440" s="100"/>
      <c r="W440" s="100"/>
      <c r="X440" s="100"/>
      <c r="Y440" s="100"/>
      <c r="Z440" s="293"/>
      <c r="AA440" s="293"/>
      <c r="AB440" s="293"/>
      <c r="AC440" s="293"/>
      <c r="AD440" s="293"/>
      <c r="AE440" s="293"/>
      <c r="AF440" s="293"/>
    </row>
    <row r="441" spans="3:32" x14ac:dyDescent="0.2">
      <c r="C441" s="100"/>
      <c r="D441" s="100"/>
      <c r="E441" s="100"/>
      <c r="F441" s="100"/>
      <c r="G441" s="100"/>
      <c r="H441" s="101"/>
      <c r="I441" s="100"/>
      <c r="J441" s="100"/>
      <c r="K441" s="100"/>
      <c r="L441" s="100"/>
      <c r="M441" s="101"/>
      <c r="N441" s="100"/>
      <c r="O441" s="100"/>
      <c r="P441" s="100"/>
      <c r="Q441" s="100"/>
      <c r="R441" s="100"/>
      <c r="S441" s="100"/>
      <c r="T441" s="100"/>
      <c r="U441" s="100"/>
      <c r="V441" s="100"/>
      <c r="W441" s="100"/>
      <c r="X441" s="100"/>
      <c r="Y441" s="100"/>
      <c r="Z441" s="293"/>
      <c r="AA441" s="293"/>
      <c r="AB441" s="293"/>
      <c r="AC441" s="293"/>
      <c r="AD441" s="293"/>
      <c r="AE441" s="293"/>
      <c r="AF441" s="293"/>
    </row>
    <row r="442" spans="3:32" x14ac:dyDescent="0.2">
      <c r="C442" s="100"/>
      <c r="D442" s="100"/>
      <c r="E442" s="100"/>
      <c r="F442" s="100"/>
      <c r="G442" s="100"/>
      <c r="H442" s="101"/>
      <c r="I442" s="100"/>
      <c r="J442" s="100"/>
      <c r="K442" s="100"/>
      <c r="L442" s="100"/>
      <c r="M442" s="101"/>
      <c r="N442" s="100"/>
      <c r="O442" s="100"/>
      <c r="P442" s="100"/>
      <c r="Q442" s="100"/>
      <c r="R442" s="100"/>
      <c r="S442" s="100"/>
      <c r="T442" s="100"/>
      <c r="U442" s="100"/>
      <c r="V442" s="100"/>
      <c r="W442" s="100"/>
      <c r="X442" s="100"/>
      <c r="Y442" s="100"/>
      <c r="Z442" s="293"/>
      <c r="AA442" s="293"/>
      <c r="AB442" s="293"/>
      <c r="AC442" s="293"/>
      <c r="AD442" s="293"/>
      <c r="AE442" s="293"/>
      <c r="AF442" s="293"/>
    </row>
    <row r="443" spans="3:32" x14ac:dyDescent="0.2">
      <c r="C443" s="100"/>
      <c r="D443" s="100"/>
      <c r="E443" s="100"/>
      <c r="F443" s="100"/>
      <c r="G443" s="100"/>
      <c r="H443" s="101"/>
      <c r="I443" s="100"/>
      <c r="J443" s="100"/>
      <c r="K443" s="100"/>
      <c r="L443" s="100"/>
      <c r="M443" s="101"/>
      <c r="N443" s="100"/>
      <c r="O443" s="100"/>
      <c r="P443" s="100"/>
      <c r="Q443" s="100"/>
      <c r="R443" s="100"/>
      <c r="S443" s="100"/>
      <c r="T443" s="100"/>
      <c r="U443" s="100"/>
      <c r="V443" s="100"/>
      <c r="W443" s="100"/>
      <c r="X443" s="100"/>
      <c r="Y443" s="100"/>
      <c r="Z443" s="293"/>
      <c r="AA443" s="293"/>
      <c r="AB443" s="293"/>
      <c r="AC443" s="293"/>
      <c r="AD443" s="293"/>
      <c r="AE443" s="293"/>
      <c r="AF443" s="293"/>
    </row>
    <row r="444" spans="3:32" x14ac:dyDescent="0.2">
      <c r="C444" s="100"/>
      <c r="D444" s="100"/>
      <c r="E444" s="100"/>
      <c r="F444" s="100"/>
      <c r="G444" s="100"/>
      <c r="H444" s="101"/>
      <c r="I444" s="100"/>
      <c r="J444" s="100"/>
      <c r="K444" s="100"/>
      <c r="L444" s="100"/>
      <c r="M444" s="101"/>
      <c r="N444" s="100"/>
      <c r="O444" s="100"/>
      <c r="P444" s="100"/>
      <c r="Q444" s="100"/>
      <c r="R444" s="100"/>
      <c r="S444" s="100"/>
      <c r="T444" s="100"/>
      <c r="U444" s="100"/>
      <c r="V444" s="100"/>
      <c r="W444" s="100"/>
      <c r="X444" s="100"/>
      <c r="Y444" s="100"/>
      <c r="Z444" s="293"/>
      <c r="AA444" s="293"/>
      <c r="AB444" s="293"/>
      <c r="AC444" s="293"/>
      <c r="AD444" s="293"/>
      <c r="AE444" s="293"/>
      <c r="AF444" s="293"/>
    </row>
    <row r="445" spans="3:32" x14ac:dyDescent="0.2">
      <c r="C445" s="100"/>
      <c r="D445" s="100"/>
      <c r="E445" s="100"/>
      <c r="F445" s="100"/>
      <c r="G445" s="100"/>
      <c r="H445" s="101"/>
      <c r="I445" s="100"/>
      <c r="J445" s="100"/>
      <c r="K445" s="100"/>
      <c r="L445" s="100"/>
      <c r="M445" s="101"/>
      <c r="N445" s="100"/>
      <c r="O445" s="100"/>
      <c r="P445" s="100"/>
      <c r="Q445" s="100"/>
      <c r="R445" s="100"/>
      <c r="S445" s="100"/>
      <c r="T445" s="100"/>
      <c r="U445" s="100"/>
      <c r="V445" s="100"/>
      <c r="W445" s="100"/>
      <c r="X445" s="100"/>
      <c r="Y445" s="100"/>
      <c r="Z445" s="293"/>
      <c r="AA445" s="293"/>
      <c r="AB445" s="293"/>
      <c r="AC445" s="293"/>
      <c r="AD445" s="293"/>
      <c r="AE445" s="293"/>
      <c r="AF445" s="293"/>
    </row>
    <row r="446" spans="3:32" x14ac:dyDescent="0.2">
      <c r="C446" s="100"/>
      <c r="D446" s="100"/>
      <c r="E446" s="100"/>
      <c r="F446" s="100"/>
      <c r="G446" s="100"/>
      <c r="H446" s="101"/>
      <c r="I446" s="100"/>
      <c r="J446" s="100"/>
      <c r="K446" s="100"/>
      <c r="L446" s="100"/>
      <c r="M446" s="101"/>
      <c r="N446" s="100"/>
      <c r="O446" s="100"/>
      <c r="P446" s="100"/>
      <c r="Q446" s="100"/>
      <c r="R446" s="100"/>
      <c r="S446" s="100"/>
      <c r="T446" s="100"/>
      <c r="U446" s="100"/>
      <c r="V446" s="100"/>
      <c r="W446" s="100"/>
      <c r="X446" s="100"/>
      <c r="Y446" s="100"/>
      <c r="Z446" s="293"/>
      <c r="AA446" s="293"/>
      <c r="AB446" s="293"/>
      <c r="AC446" s="293"/>
      <c r="AD446" s="293"/>
      <c r="AE446" s="293"/>
      <c r="AF446" s="293"/>
    </row>
    <row r="447" spans="3:32" x14ac:dyDescent="0.2">
      <c r="C447" s="100"/>
      <c r="D447" s="100"/>
      <c r="E447" s="100"/>
      <c r="F447" s="100"/>
      <c r="G447" s="100"/>
      <c r="H447" s="101"/>
      <c r="I447" s="100"/>
      <c r="J447" s="100"/>
      <c r="K447" s="100"/>
      <c r="L447" s="100"/>
      <c r="M447" s="101"/>
      <c r="N447" s="100"/>
      <c r="O447" s="100"/>
      <c r="P447" s="100"/>
      <c r="Q447" s="100"/>
      <c r="R447" s="100"/>
      <c r="S447" s="100"/>
      <c r="T447" s="100"/>
      <c r="U447" s="100"/>
      <c r="V447" s="100"/>
      <c r="W447" s="100"/>
      <c r="X447" s="100"/>
      <c r="Y447" s="100"/>
      <c r="Z447" s="293"/>
      <c r="AA447" s="293"/>
      <c r="AB447" s="293"/>
      <c r="AC447" s="293"/>
      <c r="AD447" s="293"/>
      <c r="AE447" s="293"/>
      <c r="AF447" s="293"/>
    </row>
    <row r="448" spans="3:32" x14ac:dyDescent="0.2">
      <c r="C448" s="100"/>
      <c r="D448" s="100"/>
      <c r="E448" s="100"/>
      <c r="F448" s="100"/>
      <c r="G448" s="100"/>
      <c r="H448" s="101"/>
      <c r="I448" s="100"/>
      <c r="J448" s="100"/>
      <c r="K448" s="100"/>
      <c r="L448" s="100"/>
      <c r="M448" s="101"/>
      <c r="N448" s="100"/>
      <c r="O448" s="100"/>
      <c r="P448" s="100"/>
      <c r="Q448" s="100"/>
      <c r="R448" s="100"/>
      <c r="S448" s="100"/>
      <c r="T448" s="100"/>
      <c r="U448" s="100"/>
      <c r="V448" s="100"/>
      <c r="W448" s="100"/>
      <c r="X448" s="100"/>
      <c r="Y448" s="100"/>
      <c r="Z448" s="293"/>
      <c r="AA448" s="293"/>
      <c r="AB448" s="293"/>
      <c r="AC448" s="293"/>
      <c r="AD448" s="293"/>
      <c r="AE448" s="293"/>
      <c r="AF448" s="293"/>
    </row>
    <row r="449" spans="3:32" x14ac:dyDescent="0.2">
      <c r="C449" s="100"/>
      <c r="D449" s="100"/>
      <c r="E449" s="100"/>
      <c r="F449" s="100"/>
      <c r="G449" s="100"/>
      <c r="H449" s="101"/>
      <c r="I449" s="100"/>
      <c r="J449" s="100"/>
      <c r="K449" s="100"/>
      <c r="L449" s="100"/>
      <c r="M449" s="101"/>
      <c r="N449" s="100"/>
      <c r="O449" s="100"/>
      <c r="P449" s="100"/>
      <c r="Q449" s="100"/>
      <c r="R449" s="100"/>
      <c r="S449" s="100"/>
      <c r="T449" s="100"/>
      <c r="U449" s="100"/>
      <c r="V449" s="100"/>
      <c r="W449" s="100"/>
      <c r="X449" s="100"/>
      <c r="Y449" s="100"/>
      <c r="Z449" s="293"/>
      <c r="AA449" s="293"/>
      <c r="AB449" s="293"/>
      <c r="AC449" s="293"/>
      <c r="AD449" s="293"/>
      <c r="AE449" s="293"/>
      <c r="AF449" s="293"/>
    </row>
    <row r="450" spans="3:32" x14ac:dyDescent="0.2">
      <c r="C450" s="100"/>
      <c r="D450" s="100"/>
      <c r="E450" s="100"/>
      <c r="F450" s="100"/>
      <c r="G450" s="100"/>
      <c r="H450" s="101"/>
      <c r="I450" s="100"/>
      <c r="J450" s="100"/>
      <c r="K450" s="100"/>
      <c r="L450" s="100"/>
      <c r="M450" s="101"/>
      <c r="N450" s="100"/>
      <c r="O450" s="100"/>
      <c r="P450" s="100"/>
      <c r="Q450" s="100"/>
      <c r="R450" s="100"/>
      <c r="S450" s="100"/>
      <c r="T450" s="100"/>
      <c r="U450" s="100"/>
      <c r="V450" s="100"/>
      <c r="W450" s="100"/>
      <c r="X450" s="100"/>
      <c r="Y450" s="100"/>
      <c r="Z450" s="293"/>
      <c r="AA450" s="293"/>
      <c r="AB450" s="293"/>
      <c r="AC450" s="293"/>
      <c r="AD450" s="293"/>
      <c r="AE450" s="293"/>
      <c r="AF450" s="293"/>
    </row>
    <row r="451" spans="3:32" x14ac:dyDescent="0.2">
      <c r="C451" s="100"/>
      <c r="D451" s="100"/>
      <c r="E451" s="100"/>
      <c r="F451" s="100"/>
      <c r="G451" s="100"/>
      <c r="H451" s="101"/>
      <c r="I451" s="100"/>
      <c r="J451" s="100"/>
      <c r="K451" s="100"/>
      <c r="L451" s="100"/>
      <c r="M451" s="101"/>
      <c r="N451" s="100"/>
      <c r="O451" s="100"/>
      <c r="P451" s="100"/>
      <c r="Q451" s="100"/>
      <c r="R451" s="100"/>
      <c r="S451" s="100"/>
      <c r="T451" s="100"/>
      <c r="U451" s="100"/>
      <c r="V451" s="100"/>
      <c r="W451" s="100"/>
      <c r="X451" s="100"/>
      <c r="Y451" s="100"/>
      <c r="Z451" s="293"/>
      <c r="AA451" s="293"/>
      <c r="AB451" s="293"/>
      <c r="AC451" s="293"/>
      <c r="AD451" s="293"/>
      <c r="AE451" s="293"/>
      <c r="AF451" s="293"/>
    </row>
    <row r="452" spans="3:32" x14ac:dyDescent="0.2">
      <c r="C452" s="100"/>
      <c r="D452" s="100"/>
      <c r="E452" s="100"/>
      <c r="F452" s="100"/>
      <c r="G452" s="100"/>
      <c r="H452" s="101"/>
      <c r="I452" s="100"/>
      <c r="J452" s="100"/>
      <c r="K452" s="100"/>
      <c r="L452" s="100"/>
      <c r="M452" s="101"/>
      <c r="N452" s="100"/>
      <c r="O452" s="100"/>
      <c r="P452" s="100"/>
      <c r="Q452" s="100"/>
      <c r="R452" s="100"/>
      <c r="S452" s="100"/>
      <c r="T452" s="100"/>
      <c r="U452" s="100"/>
      <c r="V452" s="100"/>
      <c r="W452" s="100"/>
      <c r="X452" s="100"/>
      <c r="Y452" s="100"/>
      <c r="Z452" s="293"/>
      <c r="AA452" s="293"/>
      <c r="AB452" s="293"/>
      <c r="AC452" s="293"/>
      <c r="AD452" s="293"/>
      <c r="AE452" s="293"/>
      <c r="AF452" s="293"/>
    </row>
    <row r="453" spans="3:32" x14ac:dyDescent="0.2">
      <c r="C453" s="100"/>
      <c r="D453" s="100"/>
      <c r="E453" s="100"/>
      <c r="F453" s="100"/>
      <c r="G453" s="100"/>
      <c r="H453" s="101"/>
      <c r="I453" s="100"/>
      <c r="J453" s="100"/>
      <c r="K453" s="100"/>
      <c r="L453" s="100"/>
      <c r="M453" s="101"/>
      <c r="N453" s="100"/>
      <c r="O453" s="100"/>
      <c r="P453" s="100"/>
      <c r="Q453" s="100"/>
      <c r="R453" s="100"/>
      <c r="S453" s="100"/>
      <c r="T453" s="100"/>
      <c r="U453" s="100"/>
      <c r="V453" s="100"/>
      <c r="W453" s="100"/>
      <c r="X453" s="100"/>
      <c r="Y453" s="100"/>
      <c r="Z453" s="293"/>
      <c r="AA453" s="293"/>
      <c r="AB453" s="293"/>
      <c r="AC453" s="293"/>
      <c r="AD453" s="293"/>
      <c r="AE453" s="293"/>
      <c r="AF453" s="293"/>
    </row>
    <row r="454" spans="3:32" x14ac:dyDescent="0.2">
      <c r="C454" s="100"/>
      <c r="D454" s="100"/>
      <c r="E454" s="100"/>
      <c r="F454" s="100"/>
      <c r="G454" s="100"/>
      <c r="H454" s="101"/>
      <c r="I454" s="100"/>
      <c r="J454" s="100"/>
      <c r="K454" s="100"/>
      <c r="L454" s="100"/>
      <c r="M454" s="101"/>
      <c r="N454" s="100"/>
      <c r="O454" s="100"/>
      <c r="P454" s="100"/>
      <c r="Q454" s="100"/>
      <c r="R454" s="100"/>
      <c r="S454" s="100"/>
      <c r="T454" s="100"/>
      <c r="U454" s="100"/>
      <c r="V454" s="100"/>
      <c r="W454" s="100"/>
      <c r="X454" s="100"/>
      <c r="Y454" s="100"/>
      <c r="Z454" s="293"/>
      <c r="AA454" s="293"/>
      <c r="AB454" s="293"/>
      <c r="AC454" s="293"/>
      <c r="AD454" s="293"/>
      <c r="AE454" s="293"/>
      <c r="AF454" s="293"/>
    </row>
    <row r="455" spans="3:32" x14ac:dyDescent="0.2">
      <c r="C455" s="100"/>
      <c r="D455" s="100"/>
      <c r="E455" s="100"/>
      <c r="F455" s="100"/>
      <c r="G455" s="100"/>
      <c r="H455" s="101"/>
      <c r="I455" s="100"/>
      <c r="J455" s="100"/>
      <c r="K455" s="100"/>
      <c r="L455" s="100"/>
      <c r="M455" s="101"/>
      <c r="N455" s="100"/>
      <c r="O455" s="100"/>
      <c r="P455" s="100"/>
      <c r="Q455" s="100"/>
      <c r="R455" s="100"/>
      <c r="S455" s="100"/>
      <c r="T455" s="100"/>
      <c r="U455" s="100"/>
      <c r="V455" s="100"/>
      <c r="W455" s="100"/>
      <c r="X455" s="100"/>
      <c r="Y455" s="100"/>
      <c r="Z455" s="293"/>
      <c r="AA455" s="293"/>
      <c r="AB455" s="293"/>
      <c r="AC455" s="293"/>
      <c r="AD455" s="293"/>
      <c r="AE455" s="293"/>
      <c r="AF455" s="293"/>
    </row>
    <row r="456" spans="3:32" x14ac:dyDescent="0.2">
      <c r="C456" s="100"/>
      <c r="D456" s="100"/>
      <c r="E456" s="100"/>
      <c r="F456" s="100"/>
      <c r="G456" s="100"/>
      <c r="H456" s="101"/>
      <c r="I456" s="100"/>
      <c r="J456" s="100"/>
      <c r="K456" s="100"/>
      <c r="L456" s="100"/>
      <c r="M456" s="101"/>
      <c r="N456" s="100"/>
      <c r="O456" s="100"/>
      <c r="P456" s="100"/>
      <c r="Q456" s="100"/>
      <c r="R456" s="100"/>
      <c r="S456" s="100"/>
      <c r="T456" s="100"/>
      <c r="U456" s="100"/>
      <c r="V456" s="100"/>
      <c r="W456" s="100"/>
      <c r="X456" s="100"/>
      <c r="Y456" s="100"/>
      <c r="Z456" s="293"/>
      <c r="AA456" s="293"/>
      <c r="AB456" s="293"/>
      <c r="AC456" s="293"/>
      <c r="AD456" s="293"/>
      <c r="AE456" s="293"/>
      <c r="AF456" s="293"/>
    </row>
    <row r="457" spans="3:32" x14ac:dyDescent="0.2">
      <c r="C457" s="100"/>
      <c r="D457" s="100"/>
      <c r="E457" s="100"/>
      <c r="F457" s="100"/>
      <c r="G457" s="100"/>
      <c r="H457" s="101"/>
      <c r="I457" s="100"/>
      <c r="J457" s="100"/>
      <c r="K457" s="100"/>
      <c r="L457" s="100"/>
      <c r="M457" s="101"/>
      <c r="N457" s="100"/>
      <c r="O457" s="100"/>
      <c r="P457" s="100"/>
      <c r="Q457" s="100"/>
      <c r="R457" s="100"/>
      <c r="S457" s="100"/>
      <c r="T457" s="100"/>
      <c r="U457" s="100"/>
      <c r="V457" s="100"/>
      <c r="W457" s="100"/>
      <c r="X457" s="100"/>
      <c r="Y457" s="100"/>
      <c r="Z457" s="293"/>
      <c r="AA457" s="293"/>
      <c r="AB457" s="293"/>
      <c r="AC457" s="293"/>
      <c r="AD457" s="293"/>
      <c r="AE457" s="293"/>
      <c r="AF457" s="293"/>
    </row>
    <row r="458" spans="3:32" x14ac:dyDescent="0.2">
      <c r="C458" s="100"/>
      <c r="D458" s="100"/>
      <c r="E458" s="100"/>
      <c r="F458" s="100"/>
      <c r="G458" s="100"/>
      <c r="H458" s="101"/>
      <c r="I458" s="100"/>
      <c r="J458" s="100"/>
      <c r="K458" s="100"/>
      <c r="L458" s="100"/>
      <c r="M458" s="101"/>
      <c r="N458" s="100"/>
      <c r="O458" s="100"/>
      <c r="P458" s="100"/>
      <c r="Q458" s="100"/>
      <c r="R458" s="100"/>
      <c r="S458" s="100"/>
      <c r="T458" s="100"/>
      <c r="U458" s="100"/>
      <c r="V458" s="100"/>
      <c r="W458" s="100"/>
      <c r="X458" s="100"/>
      <c r="Y458" s="100"/>
      <c r="Z458" s="293"/>
      <c r="AA458" s="293"/>
      <c r="AB458" s="293"/>
      <c r="AC458" s="293"/>
      <c r="AD458" s="293"/>
      <c r="AE458" s="293"/>
      <c r="AF458" s="293"/>
    </row>
    <row r="459" spans="3:32" x14ac:dyDescent="0.2">
      <c r="C459" s="100"/>
      <c r="D459" s="100"/>
      <c r="E459" s="100"/>
      <c r="F459" s="100"/>
      <c r="G459" s="100"/>
      <c r="H459" s="101"/>
      <c r="I459" s="100"/>
      <c r="J459" s="100"/>
      <c r="K459" s="100"/>
      <c r="L459" s="100"/>
      <c r="M459" s="101"/>
      <c r="N459" s="100"/>
      <c r="O459" s="100"/>
      <c r="P459" s="100"/>
      <c r="Q459" s="100"/>
      <c r="R459" s="100"/>
      <c r="S459" s="100"/>
      <c r="T459" s="100"/>
      <c r="U459" s="100"/>
      <c r="V459" s="100"/>
      <c r="W459" s="100"/>
      <c r="X459" s="100"/>
      <c r="Y459" s="100"/>
      <c r="Z459" s="293"/>
      <c r="AA459" s="293"/>
      <c r="AB459" s="293"/>
      <c r="AC459" s="293"/>
      <c r="AD459" s="293"/>
      <c r="AE459" s="293"/>
      <c r="AF459" s="293"/>
    </row>
    <row r="460" spans="3:32" x14ac:dyDescent="0.2">
      <c r="C460" s="100"/>
      <c r="D460" s="100"/>
      <c r="E460" s="100"/>
      <c r="F460" s="100"/>
      <c r="G460" s="100"/>
      <c r="H460" s="101"/>
      <c r="I460" s="100"/>
      <c r="J460" s="100"/>
      <c r="K460" s="100"/>
      <c r="L460" s="100"/>
      <c r="M460" s="101"/>
      <c r="N460" s="100"/>
      <c r="O460" s="100"/>
      <c r="P460" s="100"/>
      <c r="Q460" s="100"/>
      <c r="R460" s="100"/>
      <c r="S460" s="100"/>
      <c r="T460" s="100"/>
      <c r="U460" s="100"/>
      <c r="V460" s="100"/>
      <c r="W460" s="100"/>
      <c r="X460" s="100"/>
      <c r="Y460" s="100"/>
      <c r="Z460" s="293"/>
      <c r="AA460" s="293"/>
      <c r="AB460" s="293"/>
      <c r="AC460" s="293"/>
      <c r="AD460" s="293"/>
      <c r="AE460" s="293"/>
      <c r="AF460" s="293"/>
    </row>
    <row r="461" spans="3:32" x14ac:dyDescent="0.2">
      <c r="C461" s="100"/>
      <c r="D461" s="100"/>
      <c r="E461" s="100"/>
      <c r="F461" s="100"/>
      <c r="G461" s="100"/>
      <c r="H461" s="101"/>
      <c r="I461" s="100"/>
      <c r="J461" s="100"/>
      <c r="K461" s="100"/>
      <c r="L461" s="100"/>
      <c r="M461" s="101"/>
      <c r="N461" s="100"/>
      <c r="O461" s="100"/>
      <c r="P461" s="100"/>
      <c r="Q461" s="100"/>
      <c r="R461" s="100"/>
      <c r="S461" s="100"/>
      <c r="T461" s="100"/>
      <c r="U461" s="100"/>
      <c r="V461" s="100"/>
      <c r="W461" s="100"/>
      <c r="X461" s="100"/>
      <c r="Y461" s="100"/>
      <c r="Z461" s="293"/>
      <c r="AA461" s="293"/>
      <c r="AB461" s="293"/>
      <c r="AC461" s="293"/>
      <c r="AD461" s="293"/>
      <c r="AE461" s="293"/>
      <c r="AF461" s="293"/>
    </row>
    <row r="462" spans="3:32" x14ac:dyDescent="0.2">
      <c r="C462" s="100"/>
      <c r="D462" s="100"/>
      <c r="E462" s="100"/>
      <c r="F462" s="100"/>
      <c r="G462" s="100"/>
      <c r="H462" s="101"/>
      <c r="I462" s="100"/>
      <c r="J462" s="100"/>
      <c r="K462" s="100"/>
      <c r="L462" s="100"/>
      <c r="M462" s="101"/>
      <c r="N462" s="100"/>
      <c r="O462" s="100"/>
      <c r="P462" s="100"/>
      <c r="Q462" s="100"/>
      <c r="R462" s="100"/>
      <c r="S462" s="100"/>
      <c r="T462" s="100"/>
      <c r="U462" s="100"/>
      <c r="V462" s="100"/>
      <c r="W462" s="100"/>
      <c r="X462" s="100"/>
      <c r="Y462" s="100"/>
      <c r="Z462" s="293"/>
      <c r="AA462" s="293"/>
      <c r="AB462" s="293"/>
      <c r="AC462" s="293"/>
      <c r="AD462" s="293"/>
      <c r="AE462" s="293"/>
      <c r="AF462" s="293"/>
    </row>
    <row r="463" spans="3:32" x14ac:dyDescent="0.2">
      <c r="C463" s="100"/>
      <c r="D463" s="100"/>
      <c r="E463" s="100"/>
      <c r="F463" s="100"/>
      <c r="G463" s="100"/>
      <c r="H463" s="101"/>
      <c r="I463" s="100"/>
      <c r="J463" s="100"/>
      <c r="K463" s="100"/>
      <c r="L463" s="100"/>
      <c r="M463" s="101"/>
      <c r="N463" s="100"/>
      <c r="O463" s="100"/>
      <c r="P463" s="100"/>
      <c r="Q463" s="100"/>
      <c r="R463" s="100"/>
      <c r="S463" s="100"/>
      <c r="T463" s="100"/>
      <c r="U463" s="100"/>
      <c r="V463" s="100"/>
      <c r="W463" s="100"/>
      <c r="X463" s="100"/>
      <c r="Y463" s="100"/>
      <c r="Z463" s="293"/>
      <c r="AA463" s="293"/>
      <c r="AB463" s="293"/>
      <c r="AC463" s="293"/>
      <c r="AD463" s="293"/>
      <c r="AE463" s="293"/>
      <c r="AF463" s="293"/>
    </row>
    <row r="464" spans="3:32" x14ac:dyDescent="0.2">
      <c r="C464" s="100"/>
      <c r="D464" s="100"/>
      <c r="E464" s="100"/>
      <c r="F464" s="100"/>
      <c r="G464" s="100"/>
      <c r="H464" s="101"/>
      <c r="I464" s="100"/>
      <c r="J464" s="100"/>
      <c r="K464" s="100"/>
      <c r="L464" s="100"/>
      <c r="M464" s="101"/>
      <c r="N464" s="100"/>
      <c r="O464" s="100"/>
      <c r="P464" s="100"/>
      <c r="Q464" s="100"/>
      <c r="R464" s="100"/>
      <c r="S464" s="100"/>
      <c r="T464" s="100"/>
      <c r="U464" s="100"/>
      <c r="V464" s="100"/>
      <c r="W464" s="100"/>
      <c r="X464" s="100"/>
      <c r="Y464" s="100"/>
      <c r="Z464" s="293"/>
      <c r="AA464" s="293"/>
      <c r="AB464" s="293"/>
      <c r="AC464" s="293"/>
      <c r="AD464" s="293"/>
      <c r="AE464" s="293"/>
      <c r="AF464" s="293"/>
    </row>
    <row r="465" spans="3:32" x14ac:dyDescent="0.2">
      <c r="C465" s="100"/>
      <c r="D465" s="100"/>
      <c r="E465" s="100"/>
      <c r="F465" s="100"/>
      <c r="G465" s="100"/>
      <c r="H465" s="101"/>
      <c r="I465" s="100"/>
      <c r="J465" s="100"/>
      <c r="K465" s="100"/>
      <c r="L465" s="100"/>
      <c r="M465" s="101"/>
      <c r="N465" s="100"/>
      <c r="O465" s="100"/>
      <c r="P465" s="100"/>
      <c r="Q465" s="100"/>
      <c r="R465" s="100"/>
      <c r="S465" s="100"/>
      <c r="T465" s="100"/>
      <c r="U465" s="100"/>
      <c r="V465" s="100"/>
      <c r="W465" s="100"/>
      <c r="X465" s="100"/>
      <c r="Y465" s="100"/>
      <c r="Z465" s="293"/>
      <c r="AA465" s="293"/>
      <c r="AB465" s="293"/>
      <c r="AC465" s="293"/>
      <c r="AD465" s="293"/>
      <c r="AE465" s="293"/>
      <c r="AF465" s="293"/>
    </row>
    <row r="466" spans="3:32" x14ac:dyDescent="0.2">
      <c r="C466" s="100"/>
      <c r="D466" s="100"/>
      <c r="E466" s="100"/>
      <c r="F466" s="100"/>
      <c r="G466" s="100"/>
      <c r="H466" s="101"/>
      <c r="I466" s="100"/>
      <c r="J466" s="100"/>
      <c r="K466" s="100"/>
      <c r="L466" s="100"/>
      <c r="M466" s="101"/>
      <c r="N466" s="100"/>
      <c r="O466" s="100"/>
      <c r="P466" s="100"/>
      <c r="Q466" s="100"/>
      <c r="R466" s="100"/>
      <c r="S466" s="100"/>
      <c r="T466" s="100"/>
      <c r="U466" s="100"/>
      <c r="V466" s="100"/>
      <c r="W466" s="100"/>
      <c r="X466" s="100"/>
      <c r="Y466" s="100"/>
      <c r="Z466" s="293"/>
      <c r="AA466" s="293"/>
      <c r="AB466" s="293"/>
      <c r="AC466" s="293"/>
      <c r="AD466" s="293"/>
      <c r="AE466" s="293"/>
      <c r="AF466" s="293"/>
    </row>
    <row r="467" spans="3:32" x14ac:dyDescent="0.2">
      <c r="C467" s="100"/>
      <c r="D467" s="100"/>
      <c r="E467" s="100"/>
      <c r="F467" s="100"/>
      <c r="G467" s="100"/>
      <c r="H467" s="101"/>
      <c r="I467" s="100"/>
      <c r="J467" s="100"/>
      <c r="K467" s="100"/>
      <c r="L467" s="100"/>
      <c r="M467" s="101"/>
      <c r="N467" s="100"/>
      <c r="O467" s="100"/>
      <c r="P467" s="100"/>
      <c r="Q467" s="100"/>
      <c r="R467" s="100"/>
      <c r="S467" s="100"/>
      <c r="T467" s="100"/>
      <c r="U467" s="100"/>
      <c r="V467" s="100"/>
      <c r="W467" s="100"/>
      <c r="X467" s="100"/>
      <c r="Y467" s="100"/>
      <c r="Z467" s="293"/>
      <c r="AA467" s="293"/>
      <c r="AB467" s="293"/>
      <c r="AC467" s="293"/>
      <c r="AD467" s="293"/>
      <c r="AE467" s="293"/>
      <c r="AF467" s="293"/>
    </row>
    <row r="468" spans="3:32" x14ac:dyDescent="0.2">
      <c r="C468" s="100"/>
      <c r="D468" s="100"/>
      <c r="E468" s="100"/>
      <c r="F468" s="100"/>
      <c r="G468" s="100"/>
      <c r="H468" s="101"/>
      <c r="I468" s="100"/>
      <c r="J468" s="100"/>
      <c r="K468" s="100"/>
      <c r="L468" s="100"/>
      <c r="M468" s="101"/>
      <c r="N468" s="100"/>
      <c r="O468" s="100"/>
      <c r="P468" s="100"/>
      <c r="Q468" s="100"/>
      <c r="R468" s="100"/>
      <c r="S468" s="100"/>
      <c r="T468" s="100"/>
      <c r="U468" s="100"/>
      <c r="V468" s="100"/>
      <c r="W468" s="100"/>
      <c r="X468" s="100"/>
      <c r="Y468" s="100"/>
      <c r="Z468" s="293"/>
      <c r="AA468" s="293"/>
      <c r="AB468" s="293"/>
      <c r="AC468" s="293"/>
      <c r="AD468" s="293"/>
      <c r="AE468" s="293"/>
      <c r="AF468" s="293"/>
    </row>
    <row r="469" spans="3:32" x14ac:dyDescent="0.2">
      <c r="C469" s="100"/>
      <c r="D469" s="100"/>
      <c r="E469" s="100"/>
      <c r="F469" s="100"/>
      <c r="G469" s="100"/>
      <c r="H469" s="101"/>
      <c r="I469" s="100"/>
      <c r="J469" s="100"/>
      <c r="K469" s="100"/>
      <c r="L469" s="100"/>
      <c r="M469" s="101"/>
      <c r="N469" s="100"/>
      <c r="O469" s="100"/>
      <c r="P469" s="100"/>
      <c r="Q469" s="100"/>
      <c r="R469" s="100"/>
      <c r="S469" s="100"/>
      <c r="T469" s="100"/>
      <c r="U469" s="100"/>
      <c r="V469" s="100"/>
      <c r="W469" s="100"/>
      <c r="X469" s="100"/>
      <c r="Y469" s="100"/>
      <c r="Z469" s="293"/>
      <c r="AA469" s="293"/>
      <c r="AB469" s="293"/>
      <c r="AC469" s="293"/>
      <c r="AD469" s="293"/>
      <c r="AE469" s="293"/>
      <c r="AF469" s="293"/>
    </row>
    <row r="470" spans="3:32" x14ac:dyDescent="0.2">
      <c r="C470" s="100"/>
      <c r="D470" s="100"/>
      <c r="E470" s="100"/>
      <c r="F470" s="100"/>
      <c r="G470" s="100"/>
      <c r="H470" s="101"/>
      <c r="I470" s="100"/>
      <c r="J470" s="100"/>
      <c r="K470" s="100"/>
      <c r="L470" s="100"/>
      <c r="M470" s="101"/>
      <c r="N470" s="100"/>
      <c r="O470" s="100"/>
      <c r="P470" s="100"/>
      <c r="Q470" s="100"/>
      <c r="R470" s="100"/>
      <c r="S470" s="100"/>
      <c r="T470" s="100"/>
      <c r="U470" s="100"/>
      <c r="V470" s="100"/>
      <c r="W470" s="100"/>
      <c r="X470" s="100"/>
      <c r="Y470" s="100"/>
      <c r="Z470" s="293"/>
      <c r="AA470" s="293"/>
      <c r="AB470" s="293"/>
      <c r="AC470" s="293"/>
      <c r="AD470" s="293"/>
      <c r="AE470" s="293"/>
      <c r="AF470" s="293"/>
    </row>
    <row r="471" spans="3:32" x14ac:dyDescent="0.2">
      <c r="C471" s="100"/>
      <c r="D471" s="100"/>
      <c r="E471" s="100"/>
      <c r="F471" s="100"/>
      <c r="G471" s="100"/>
      <c r="H471" s="101"/>
      <c r="I471" s="100"/>
      <c r="J471" s="100"/>
      <c r="K471" s="100"/>
      <c r="L471" s="100"/>
      <c r="M471" s="101"/>
      <c r="N471" s="100"/>
      <c r="O471" s="100"/>
      <c r="P471" s="100"/>
      <c r="Q471" s="100"/>
      <c r="R471" s="100"/>
      <c r="S471" s="100"/>
      <c r="T471" s="100"/>
      <c r="U471" s="100"/>
      <c r="V471" s="100"/>
      <c r="W471" s="100"/>
      <c r="X471" s="100"/>
      <c r="Y471" s="100"/>
      <c r="Z471" s="293"/>
      <c r="AA471" s="293"/>
      <c r="AB471" s="293"/>
      <c r="AC471" s="293"/>
      <c r="AD471" s="293"/>
      <c r="AE471" s="293"/>
      <c r="AF471" s="293"/>
    </row>
    <row r="472" spans="3:32" x14ac:dyDescent="0.2">
      <c r="C472" s="100"/>
      <c r="D472" s="100"/>
      <c r="E472" s="100"/>
      <c r="F472" s="100"/>
      <c r="G472" s="100"/>
      <c r="H472" s="101"/>
      <c r="I472" s="100"/>
      <c r="J472" s="100"/>
      <c r="K472" s="100"/>
      <c r="L472" s="100"/>
      <c r="M472" s="101"/>
      <c r="N472" s="100"/>
      <c r="O472" s="100"/>
      <c r="P472" s="100"/>
      <c r="Q472" s="100"/>
      <c r="R472" s="100"/>
      <c r="S472" s="100"/>
      <c r="T472" s="100"/>
      <c r="U472" s="100"/>
      <c r="V472" s="100"/>
      <c r="W472" s="100"/>
      <c r="X472" s="100"/>
      <c r="Y472" s="100"/>
      <c r="Z472" s="293"/>
      <c r="AA472" s="293"/>
      <c r="AB472" s="293"/>
      <c r="AC472" s="293"/>
      <c r="AD472" s="293"/>
      <c r="AE472" s="293"/>
      <c r="AF472" s="293"/>
    </row>
    <row r="473" spans="3:32" x14ac:dyDescent="0.2">
      <c r="C473" s="100"/>
      <c r="D473" s="100"/>
      <c r="E473" s="100"/>
      <c r="F473" s="100"/>
      <c r="G473" s="100"/>
      <c r="H473" s="101"/>
      <c r="I473" s="100"/>
      <c r="J473" s="100"/>
      <c r="K473" s="100"/>
      <c r="L473" s="100"/>
      <c r="M473" s="101"/>
      <c r="N473" s="100"/>
      <c r="O473" s="100"/>
      <c r="P473" s="100"/>
      <c r="Q473" s="100"/>
      <c r="R473" s="100"/>
      <c r="S473" s="100"/>
      <c r="T473" s="100"/>
      <c r="U473" s="100"/>
      <c r="V473" s="100"/>
      <c r="W473" s="100"/>
      <c r="X473" s="100"/>
      <c r="Y473" s="100"/>
      <c r="Z473" s="293"/>
      <c r="AA473" s="293"/>
      <c r="AB473" s="293"/>
      <c r="AC473" s="293"/>
      <c r="AD473" s="293"/>
      <c r="AE473" s="293"/>
      <c r="AF473" s="293"/>
    </row>
    <row r="474" spans="3:32" x14ac:dyDescent="0.2">
      <c r="C474" s="100"/>
      <c r="D474" s="100"/>
      <c r="E474" s="100"/>
      <c r="F474" s="100"/>
      <c r="G474" s="100"/>
      <c r="H474" s="101"/>
      <c r="I474" s="100"/>
      <c r="J474" s="100"/>
      <c r="K474" s="100"/>
      <c r="L474" s="100"/>
      <c r="M474" s="101"/>
      <c r="N474" s="100"/>
      <c r="O474" s="100"/>
      <c r="P474" s="100"/>
      <c r="Q474" s="100"/>
      <c r="R474" s="100"/>
      <c r="S474" s="100"/>
      <c r="T474" s="100"/>
      <c r="U474" s="100"/>
      <c r="V474" s="100"/>
      <c r="W474" s="100"/>
      <c r="X474" s="100"/>
      <c r="Y474" s="100"/>
      <c r="Z474" s="293"/>
      <c r="AA474" s="293"/>
      <c r="AB474" s="293"/>
      <c r="AC474" s="293"/>
      <c r="AD474" s="293"/>
      <c r="AE474" s="293"/>
      <c r="AF474" s="293"/>
    </row>
    <row r="475" spans="3:32" x14ac:dyDescent="0.2">
      <c r="C475" s="100"/>
      <c r="D475" s="100"/>
      <c r="E475" s="100"/>
      <c r="F475" s="100"/>
      <c r="G475" s="100"/>
      <c r="H475" s="101"/>
      <c r="I475" s="100"/>
      <c r="J475" s="100"/>
      <c r="K475" s="100"/>
      <c r="L475" s="100"/>
      <c r="M475" s="101"/>
      <c r="N475" s="100"/>
      <c r="O475" s="100"/>
      <c r="P475" s="100"/>
      <c r="Q475" s="100"/>
      <c r="R475" s="100"/>
      <c r="S475" s="100"/>
      <c r="T475" s="100"/>
      <c r="U475" s="100"/>
      <c r="V475" s="100"/>
      <c r="W475" s="100"/>
      <c r="X475" s="100"/>
      <c r="Y475" s="100"/>
      <c r="Z475" s="293"/>
      <c r="AA475" s="293"/>
      <c r="AB475" s="293"/>
      <c r="AC475" s="293"/>
      <c r="AD475" s="293"/>
      <c r="AE475" s="293"/>
      <c r="AF475" s="293"/>
    </row>
    <row r="476" spans="3:32" x14ac:dyDescent="0.2">
      <c r="C476" s="100"/>
      <c r="D476" s="100"/>
      <c r="E476" s="100"/>
      <c r="F476" s="100"/>
      <c r="G476" s="100"/>
      <c r="H476" s="101"/>
      <c r="I476" s="100"/>
      <c r="J476" s="100"/>
      <c r="K476" s="100"/>
      <c r="L476" s="100"/>
      <c r="M476" s="101"/>
      <c r="N476" s="100"/>
      <c r="O476" s="100"/>
      <c r="P476" s="100"/>
      <c r="Q476" s="100"/>
      <c r="R476" s="100"/>
      <c r="S476" s="100"/>
      <c r="T476" s="100"/>
      <c r="U476" s="100"/>
      <c r="V476" s="100"/>
      <c r="W476" s="100"/>
      <c r="X476" s="100"/>
      <c r="Y476" s="100"/>
      <c r="Z476" s="293"/>
      <c r="AA476" s="293"/>
      <c r="AB476" s="293"/>
      <c r="AC476" s="293"/>
      <c r="AD476" s="293"/>
      <c r="AE476" s="293"/>
      <c r="AF476" s="293"/>
    </row>
    <row r="477" spans="3:32" x14ac:dyDescent="0.2">
      <c r="C477" s="100"/>
      <c r="D477" s="100"/>
      <c r="E477" s="100"/>
      <c r="F477" s="100"/>
      <c r="G477" s="100"/>
      <c r="H477" s="101"/>
      <c r="I477" s="100"/>
      <c r="J477" s="100"/>
      <c r="K477" s="100"/>
      <c r="L477" s="100"/>
      <c r="M477" s="101"/>
      <c r="N477" s="100"/>
      <c r="O477" s="100"/>
      <c r="P477" s="100"/>
      <c r="Q477" s="100"/>
      <c r="R477" s="100"/>
      <c r="S477" s="100"/>
      <c r="T477" s="100"/>
      <c r="U477" s="100"/>
      <c r="V477" s="100"/>
      <c r="W477" s="100"/>
      <c r="X477" s="100"/>
      <c r="Y477" s="100"/>
      <c r="Z477" s="293"/>
      <c r="AA477" s="293"/>
      <c r="AB477" s="293"/>
      <c r="AC477" s="293"/>
      <c r="AD477" s="293"/>
      <c r="AE477" s="293"/>
      <c r="AF477" s="293"/>
    </row>
    <row r="478" spans="3:32" x14ac:dyDescent="0.2">
      <c r="C478" s="100"/>
      <c r="D478" s="100"/>
      <c r="E478" s="100"/>
      <c r="F478" s="100"/>
      <c r="G478" s="100"/>
      <c r="H478" s="101"/>
      <c r="I478" s="100"/>
      <c r="J478" s="100"/>
      <c r="K478" s="100"/>
      <c r="L478" s="100"/>
      <c r="M478" s="101"/>
      <c r="N478" s="100"/>
      <c r="O478" s="100"/>
      <c r="P478" s="100"/>
      <c r="Q478" s="100"/>
      <c r="R478" s="100"/>
      <c r="S478" s="100"/>
      <c r="T478" s="100"/>
      <c r="U478" s="100"/>
      <c r="V478" s="100"/>
      <c r="W478" s="100"/>
      <c r="X478" s="100"/>
      <c r="Y478" s="100"/>
      <c r="Z478" s="293"/>
      <c r="AA478" s="293"/>
      <c r="AB478" s="293"/>
      <c r="AC478" s="293"/>
      <c r="AD478" s="293"/>
      <c r="AE478" s="293"/>
      <c r="AF478" s="293"/>
    </row>
    <row r="479" spans="3:32" x14ac:dyDescent="0.2">
      <c r="C479" s="100"/>
      <c r="D479" s="100"/>
      <c r="E479" s="100"/>
      <c r="F479" s="100"/>
      <c r="G479" s="100"/>
      <c r="H479" s="101"/>
      <c r="I479" s="100"/>
      <c r="J479" s="100"/>
      <c r="K479" s="100"/>
      <c r="L479" s="100"/>
      <c r="M479" s="101"/>
      <c r="N479" s="100"/>
      <c r="O479" s="100"/>
      <c r="P479" s="100"/>
      <c r="Q479" s="100"/>
      <c r="R479" s="100"/>
      <c r="S479" s="100"/>
      <c r="T479" s="100"/>
      <c r="U479" s="100"/>
      <c r="V479" s="100"/>
      <c r="W479" s="100"/>
      <c r="X479" s="100"/>
      <c r="Y479" s="100"/>
      <c r="Z479" s="293"/>
      <c r="AA479" s="293"/>
      <c r="AB479" s="293"/>
      <c r="AC479" s="293"/>
      <c r="AD479" s="293"/>
      <c r="AE479" s="293"/>
      <c r="AF479" s="293"/>
    </row>
    <row r="480" spans="3:32" x14ac:dyDescent="0.2">
      <c r="C480" s="100"/>
      <c r="D480" s="100"/>
      <c r="E480" s="100"/>
      <c r="F480" s="100"/>
      <c r="G480" s="100"/>
      <c r="H480" s="101"/>
      <c r="I480" s="100"/>
      <c r="J480" s="100"/>
      <c r="K480" s="100"/>
      <c r="L480" s="100"/>
      <c r="M480" s="101"/>
      <c r="N480" s="100"/>
      <c r="O480" s="100"/>
      <c r="P480" s="100"/>
      <c r="Q480" s="100"/>
      <c r="R480" s="100"/>
      <c r="S480" s="100"/>
      <c r="T480" s="100"/>
      <c r="U480" s="100"/>
      <c r="V480" s="100"/>
      <c r="W480" s="100"/>
      <c r="X480" s="100"/>
      <c r="Y480" s="100"/>
      <c r="Z480" s="293"/>
      <c r="AA480" s="293"/>
      <c r="AB480" s="293"/>
      <c r="AC480" s="293"/>
      <c r="AD480" s="293"/>
      <c r="AE480" s="293"/>
      <c r="AF480" s="293"/>
    </row>
    <row r="481" spans="3:32" x14ac:dyDescent="0.2">
      <c r="C481" s="100"/>
      <c r="D481" s="100"/>
      <c r="E481" s="100"/>
      <c r="F481" s="100"/>
      <c r="G481" s="100"/>
      <c r="H481" s="101"/>
      <c r="I481" s="100"/>
      <c r="J481" s="100"/>
      <c r="K481" s="100"/>
      <c r="L481" s="100"/>
      <c r="M481" s="101"/>
      <c r="N481" s="100"/>
      <c r="O481" s="100"/>
      <c r="P481" s="100"/>
      <c r="Q481" s="100"/>
      <c r="R481" s="100"/>
      <c r="S481" s="100"/>
      <c r="T481" s="100"/>
      <c r="U481" s="100"/>
      <c r="V481" s="100"/>
      <c r="W481" s="100"/>
      <c r="X481" s="100"/>
      <c r="Y481" s="100"/>
      <c r="Z481" s="293"/>
      <c r="AA481" s="293"/>
      <c r="AB481" s="293"/>
      <c r="AC481" s="293"/>
      <c r="AD481" s="293"/>
      <c r="AE481" s="293"/>
      <c r="AF481" s="293"/>
    </row>
    <row r="482" spans="3:32" x14ac:dyDescent="0.2">
      <c r="C482" s="100"/>
      <c r="D482" s="100"/>
      <c r="E482" s="100"/>
      <c r="F482" s="100"/>
      <c r="G482" s="100"/>
      <c r="H482" s="101"/>
      <c r="I482" s="100"/>
      <c r="J482" s="100"/>
      <c r="K482" s="100"/>
      <c r="L482" s="100"/>
      <c r="M482" s="101"/>
      <c r="N482" s="100"/>
      <c r="O482" s="100"/>
      <c r="P482" s="100"/>
      <c r="Q482" s="100"/>
      <c r="R482" s="100"/>
      <c r="S482" s="100"/>
      <c r="T482" s="100"/>
      <c r="U482" s="100"/>
      <c r="V482" s="100"/>
      <c r="W482" s="100"/>
      <c r="X482" s="100"/>
      <c r="Y482" s="100"/>
    </row>
    <row r="483" spans="3:32" x14ac:dyDescent="0.2">
      <c r="C483" s="100"/>
      <c r="D483" s="100"/>
      <c r="E483" s="100"/>
      <c r="F483" s="100"/>
      <c r="G483" s="100"/>
      <c r="H483" s="101"/>
      <c r="I483" s="100"/>
      <c r="J483" s="100"/>
      <c r="K483" s="100"/>
      <c r="L483" s="100"/>
      <c r="M483" s="101"/>
      <c r="N483" s="100"/>
      <c r="O483" s="100"/>
      <c r="P483" s="100"/>
      <c r="Q483" s="100"/>
      <c r="R483" s="100"/>
      <c r="S483" s="100"/>
      <c r="T483" s="100"/>
      <c r="U483" s="100"/>
      <c r="V483" s="100"/>
      <c r="W483" s="100"/>
      <c r="X483" s="100"/>
      <c r="Y483" s="100"/>
    </row>
    <row r="484" spans="3:32" x14ac:dyDescent="0.2">
      <c r="C484" s="100"/>
      <c r="D484" s="100"/>
      <c r="E484" s="100"/>
      <c r="F484" s="100"/>
      <c r="G484" s="100"/>
      <c r="H484" s="101"/>
      <c r="I484" s="100"/>
      <c r="J484" s="100"/>
      <c r="K484" s="100"/>
      <c r="L484" s="100"/>
      <c r="M484" s="101"/>
      <c r="N484" s="100"/>
      <c r="O484" s="100"/>
      <c r="P484" s="100"/>
      <c r="Q484" s="100"/>
      <c r="R484" s="100"/>
      <c r="S484" s="100"/>
      <c r="T484" s="100"/>
      <c r="U484" s="100"/>
      <c r="V484" s="100"/>
      <c r="W484" s="100"/>
      <c r="X484" s="100"/>
      <c r="Y484" s="100"/>
    </row>
    <row r="485" spans="3:32" x14ac:dyDescent="0.2">
      <c r="C485" s="100"/>
      <c r="D485" s="100"/>
      <c r="E485" s="100"/>
      <c r="F485" s="100"/>
      <c r="G485" s="100"/>
      <c r="H485" s="101"/>
      <c r="I485" s="100"/>
      <c r="J485" s="100"/>
      <c r="K485" s="100"/>
      <c r="L485" s="100"/>
      <c r="M485" s="101"/>
      <c r="N485" s="100"/>
      <c r="O485" s="100"/>
      <c r="P485" s="100"/>
      <c r="Q485" s="100"/>
      <c r="R485" s="100"/>
      <c r="S485" s="100"/>
      <c r="T485" s="100"/>
      <c r="U485" s="100"/>
      <c r="V485" s="100"/>
      <c r="W485" s="100"/>
      <c r="X485" s="100"/>
      <c r="Y485" s="100"/>
    </row>
    <row r="486" spans="3:32" x14ac:dyDescent="0.2">
      <c r="C486" s="100"/>
      <c r="D486" s="100"/>
      <c r="E486" s="100"/>
      <c r="F486" s="100"/>
      <c r="G486" s="100"/>
      <c r="H486" s="101"/>
      <c r="I486" s="100"/>
      <c r="J486" s="100"/>
      <c r="K486" s="100"/>
      <c r="L486" s="100"/>
      <c r="M486" s="101"/>
      <c r="N486" s="100"/>
      <c r="O486" s="100"/>
      <c r="P486" s="100"/>
      <c r="Q486" s="100"/>
      <c r="R486" s="100"/>
      <c r="S486" s="100"/>
      <c r="T486" s="100"/>
      <c r="U486" s="100"/>
      <c r="V486" s="100"/>
      <c r="W486" s="100"/>
      <c r="X486" s="100"/>
      <c r="Y486" s="100"/>
    </row>
    <row r="487" spans="3:32" x14ac:dyDescent="0.2">
      <c r="C487" s="100"/>
      <c r="D487" s="100"/>
      <c r="E487" s="100"/>
      <c r="F487" s="100"/>
      <c r="G487" s="100"/>
      <c r="H487" s="101"/>
      <c r="I487" s="100"/>
      <c r="J487" s="100"/>
      <c r="K487" s="100"/>
      <c r="L487" s="100"/>
      <c r="M487" s="101"/>
      <c r="N487" s="100"/>
      <c r="O487" s="100"/>
      <c r="P487" s="100"/>
      <c r="Q487" s="100"/>
      <c r="R487" s="100"/>
      <c r="S487" s="100"/>
      <c r="T487" s="100"/>
      <c r="U487" s="100"/>
      <c r="V487" s="100"/>
      <c r="W487" s="100"/>
      <c r="X487" s="100"/>
      <c r="Y487" s="100"/>
    </row>
    <row r="488" spans="3:32" x14ac:dyDescent="0.2">
      <c r="C488" s="100"/>
      <c r="D488" s="100"/>
      <c r="E488" s="100"/>
      <c r="F488" s="100"/>
      <c r="G488" s="100"/>
      <c r="H488" s="101"/>
      <c r="I488" s="100"/>
      <c r="J488" s="100"/>
      <c r="K488" s="100"/>
      <c r="L488" s="100"/>
      <c r="M488" s="101"/>
      <c r="N488" s="100"/>
      <c r="O488" s="100"/>
      <c r="P488" s="100"/>
      <c r="Q488" s="100"/>
      <c r="R488" s="100"/>
      <c r="S488" s="100"/>
      <c r="T488" s="100"/>
      <c r="U488" s="100"/>
      <c r="V488" s="100"/>
      <c r="W488" s="100"/>
      <c r="X488" s="100"/>
      <c r="Y488" s="100"/>
    </row>
    <row r="489" spans="3:32" x14ac:dyDescent="0.2">
      <c r="C489" s="100"/>
      <c r="D489" s="100"/>
      <c r="E489" s="100"/>
      <c r="F489" s="100"/>
      <c r="G489" s="100"/>
      <c r="H489" s="101"/>
      <c r="I489" s="100"/>
      <c r="J489" s="100"/>
      <c r="K489" s="100"/>
      <c r="L489" s="100"/>
      <c r="M489" s="101"/>
      <c r="N489" s="100"/>
      <c r="O489" s="100"/>
      <c r="P489" s="100"/>
      <c r="Q489" s="100"/>
      <c r="R489" s="100"/>
      <c r="S489" s="100"/>
      <c r="T489" s="100"/>
      <c r="U489" s="100"/>
      <c r="V489" s="100"/>
      <c r="W489" s="100"/>
      <c r="X489" s="100"/>
      <c r="Y489" s="100"/>
    </row>
    <row r="490" spans="3:32" x14ac:dyDescent="0.2">
      <c r="C490" s="100"/>
      <c r="D490" s="100"/>
      <c r="E490" s="100"/>
      <c r="F490" s="100"/>
      <c r="G490" s="100"/>
      <c r="H490" s="101"/>
      <c r="I490" s="100"/>
      <c r="J490" s="100"/>
      <c r="K490" s="100"/>
      <c r="L490" s="100"/>
      <c r="M490" s="101"/>
      <c r="N490" s="100"/>
      <c r="O490" s="100"/>
      <c r="P490" s="100"/>
      <c r="Q490" s="100"/>
      <c r="R490" s="100"/>
      <c r="S490" s="100"/>
      <c r="T490" s="100"/>
      <c r="U490" s="100"/>
      <c r="V490" s="100"/>
      <c r="W490" s="100"/>
      <c r="X490" s="100"/>
      <c r="Y490" s="100"/>
    </row>
    <row r="491" spans="3:32" x14ac:dyDescent="0.2">
      <c r="C491" s="100"/>
      <c r="D491" s="100"/>
      <c r="E491" s="100"/>
      <c r="F491" s="100"/>
      <c r="G491" s="100"/>
      <c r="H491" s="101"/>
      <c r="I491" s="100"/>
      <c r="J491" s="100"/>
      <c r="K491" s="100"/>
      <c r="L491" s="100"/>
      <c r="M491" s="101"/>
      <c r="N491" s="100"/>
      <c r="O491" s="100"/>
      <c r="P491" s="100"/>
      <c r="Q491" s="100"/>
      <c r="R491" s="100"/>
      <c r="S491" s="100"/>
      <c r="T491" s="100"/>
      <c r="U491" s="100"/>
      <c r="V491" s="100"/>
      <c r="W491" s="100"/>
      <c r="X491" s="100"/>
      <c r="Y491" s="100"/>
    </row>
    <row r="492" spans="3:32" x14ac:dyDescent="0.2">
      <c r="C492" s="100"/>
      <c r="D492" s="100"/>
      <c r="E492" s="100"/>
      <c r="F492" s="100"/>
      <c r="G492" s="100"/>
      <c r="H492" s="101"/>
      <c r="I492" s="100"/>
      <c r="J492" s="100"/>
      <c r="K492" s="100"/>
      <c r="L492" s="100"/>
      <c r="M492" s="101"/>
      <c r="N492" s="100"/>
      <c r="O492" s="100"/>
      <c r="P492" s="100"/>
      <c r="Q492" s="100"/>
      <c r="R492" s="100"/>
      <c r="S492" s="100"/>
      <c r="T492" s="100"/>
      <c r="U492" s="100"/>
      <c r="V492" s="100"/>
      <c r="W492" s="100"/>
      <c r="X492" s="100"/>
      <c r="Y492" s="100"/>
    </row>
    <row r="493" spans="3:32" x14ac:dyDescent="0.2">
      <c r="C493" s="100"/>
      <c r="D493" s="100"/>
      <c r="E493" s="100"/>
      <c r="F493" s="100"/>
      <c r="G493" s="100"/>
      <c r="H493" s="101"/>
      <c r="I493" s="100"/>
      <c r="J493" s="100"/>
      <c r="K493" s="100"/>
      <c r="L493" s="100"/>
      <c r="M493" s="101"/>
      <c r="N493" s="100"/>
      <c r="O493" s="100"/>
      <c r="P493" s="100"/>
      <c r="Q493" s="100"/>
      <c r="R493" s="100"/>
      <c r="S493" s="100"/>
      <c r="T493" s="100"/>
      <c r="U493" s="100"/>
      <c r="V493" s="100"/>
      <c r="W493" s="100"/>
      <c r="X493" s="100"/>
      <c r="Y493" s="100"/>
    </row>
    <row r="494" spans="3:32" x14ac:dyDescent="0.2">
      <c r="C494" s="100"/>
      <c r="D494" s="100"/>
      <c r="E494" s="100"/>
      <c r="F494" s="100"/>
      <c r="G494" s="100"/>
      <c r="H494" s="101"/>
      <c r="I494" s="100"/>
      <c r="J494" s="100"/>
      <c r="K494" s="100"/>
      <c r="L494" s="100"/>
      <c r="M494" s="101"/>
      <c r="N494" s="100"/>
      <c r="O494" s="100"/>
      <c r="P494" s="100"/>
      <c r="Q494" s="100"/>
      <c r="R494" s="100"/>
      <c r="S494" s="100"/>
      <c r="T494" s="100"/>
      <c r="U494" s="100"/>
      <c r="V494" s="100"/>
      <c r="W494" s="100"/>
      <c r="X494" s="100"/>
      <c r="Y494" s="100"/>
    </row>
    <row r="495" spans="3:32" x14ac:dyDescent="0.2">
      <c r="C495" s="100"/>
      <c r="D495" s="100"/>
      <c r="E495" s="100"/>
      <c r="F495" s="100"/>
      <c r="G495" s="100"/>
      <c r="H495" s="101"/>
      <c r="I495" s="100"/>
      <c r="J495" s="100"/>
      <c r="K495" s="100"/>
      <c r="L495" s="100"/>
      <c r="M495" s="101"/>
      <c r="N495" s="100"/>
      <c r="O495" s="100"/>
      <c r="P495" s="100"/>
      <c r="Q495" s="100"/>
      <c r="R495" s="100"/>
      <c r="S495" s="100"/>
      <c r="T495" s="100"/>
      <c r="U495" s="100"/>
      <c r="V495" s="100"/>
      <c r="W495" s="100"/>
      <c r="X495" s="100"/>
      <c r="Y495" s="100"/>
    </row>
    <row r="496" spans="3:32" x14ac:dyDescent="0.2">
      <c r="C496" s="100"/>
      <c r="D496" s="100"/>
      <c r="E496" s="100"/>
      <c r="F496" s="100"/>
      <c r="G496" s="100"/>
      <c r="H496" s="101"/>
      <c r="I496" s="100"/>
      <c r="J496" s="100"/>
      <c r="K496" s="100"/>
      <c r="L496" s="100"/>
      <c r="M496" s="101"/>
      <c r="N496" s="100"/>
      <c r="O496" s="100"/>
      <c r="P496" s="100"/>
      <c r="Q496" s="100"/>
      <c r="R496" s="100"/>
      <c r="S496" s="100"/>
      <c r="T496" s="100"/>
      <c r="U496" s="100"/>
      <c r="V496" s="100"/>
      <c r="W496" s="100"/>
      <c r="X496" s="100"/>
      <c r="Y496" s="100"/>
    </row>
    <row r="497" spans="3:25" x14ac:dyDescent="0.2">
      <c r="C497" s="100"/>
      <c r="D497" s="100"/>
      <c r="E497" s="100"/>
      <c r="F497" s="100"/>
      <c r="G497" s="100"/>
      <c r="H497" s="101"/>
      <c r="I497" s="100"/>
      <c r="J497" s="100"/>
      <c r="K497" s="100"/>
      <c r="L497" s="100"/>
      <c r="M497" s="101"/>
      <c r="N497" s="100"/>
      <c r="O497" s="100"/>
      <c r="P497" s="100"/>
      <c r="Q497" s="100"/>
      <c r="R497" s="100"/>
      <c r="S497" s="100"/>
      <c r="T497" s="100"/>
      <c r="U497" s="100"/>
      <c r="V497" s="100"/>
      <c r="W497" s="100"/>
      <c r="X497" s="100"/>
      <c r="Y497" s="100"/>
    </row>
    <row r="498" spans="3:25" x14ac:dyDescent="0.2">
      <c r="C498" s="100"/>
      <c r="D498" s="100"/>
      <c r="E498" s="100"/>
      <c r="F498" s="100"/>
      <c r="G498" s="100"/>
      <c r="H498" s="101"/>
      <c r="I498" s="100"/>
      <c r="J498" s="100"/>
      <c r="K498" s="100"/>
      <c r="L498" s="100"/>
      <c r="M498" s="101"/>
      <c r="N498" s="100"/>
      <c r="O498" s="100"/>
      <c r="P498" s="100"/>
      <c r="Q498" s="100"/>
      <c r="R498" s="100"/>
      <c r="S498" s="100"/>
      <c r="T498" s="100"/>
      <c r="U498" s="100"/>
      <c r="V498" s="100"/>
      <c r="W498" s="100"/>
      <c r="X498" s="100"/>
      <c r="Y498" s="100"/>
    </row>
    <row r="499" spans="3:25" x14ac:dyDescent="0.2">
      <c r="C499" s="100"/>
      <c r="D499" s="100"/>
      <c r="E499" s="100"/>
      <c r="F499" s="100"/>
      <c r="G499" s="100"/>
      <c r="H499" s="101"/>
      <c r="I499" s="100"/>
      <c r="J499" s="100"/>
      <c r="K499" s="100"/>
      <c r="L499" s="100"/>
      <c r="M499" s="101"/>
      <c r="N499" s="100"/>
      <c r="O499" s="100"/>
      <c r="P499" s="100"/>
      <c r="Q499" s="100"/>
      <c r="R499" s="100"/>
      <c r="S499" s="100"/>
      <c r="T499" s="100"/>
      <c r="U499" s="100"/>
      <c r="V499" s="100"/>
      <c r="W499" s="100"/>
      <c r="X499" s="100"/>
      <c r="Y499" s="100"/>
    </row>
    <row r="500" spans="3:25" x14ac:dyDescent="0.2">
      <c r="C500" s="100"/>
      <c r="D500" s="100"/>
      <c r="E500" s="100"/>
      <c r="F500" s="100"/>
      <c r="G500" s="100"/>
      <c r="H500" s="101"/>
      <c r="I500" s="100"/>
      <c r="J500" s="100"/>
      <c r="K500" s="100"/>
      <c r="L500" s="100"/>
      <c r="M500" s="101"/>
      <c r="N500" s="100"/>
      <c r="O500" s="100"/>
      <c r="P500" s="100"/>
      <c r="Q500" s="100"/>
      <c r="R500" s="100"/>
      <c r="S500" s="100"/>
      <c r="T500" s="100"/>
      <c r="U500" s="100"/>
      <c r="V500" s="100"/>
      <c r="W500" s="100"/>
      <c r="X500" s="100"/>
      <c r="Y500" s="100"/>
    </row>
    <row r="501" spans="3:25" x14ac:dyDescent="0.2">
      <c r="C501" s="100"/>
      <c r="D501" s="100"/>
      <c r="E501" s="100"/>
      <c r="F501" s="100"/>
      <c r="G501" s="100"/>
      <c r="H501" s="101"/>
      <c r="I501" s="100"/>
      <c r="J501" s="100"/>
      <c r="K501" s="100"/>
      <c r="L501" s="100"/>
      <c r="M501" s="101"/>
      <c r="N501" s="100"/>
      <c r="O501" s="100"/>
      <c r="P501" s="100"/>
      <c r="Q501" s="100"/>
      <c r="R501" s="100"/>
      <c r="S501" s="100"/>
      <c r="T501" s="100"/>
      <c r="U501" s="100"/>
      <c r="V501" s="100"/>
      <c r="W501" s="100"/>
      <c r="X501" s="100"/>
      <c r="Y501" s="100"/>
    </row>
    <row r="502" spans="3:25" x14ac:dyDescent="0.2">
      <c r="C502" s="100"/>
      <c r="D502" s="100"/>
      <c r="E502" s="100"/>
      <c r="F502" s="100"/>
      <c r="G502" s="100"/>
      <c r="H502" s="101"/>
      <c r="I502" s="100"/>
      <c r="J502" s="100"/>
      <c r="K502" s="100"/>
      <c r="L502" s="100"/>
      <c r="M502" s="101"/>
      <c r="N502" s="100"/>
      <c r="O502" s="100"/>
      <c r="P502" s="100"/>
      <c r="Q502" s="100"/>
      <c r="R502" s="100"/>
      <c r="S502" s="100"/>
      <c r="T502" s="100"/>
      <c r="U502" s="100"/>
      <c r="V502" s="100"/>
      <c r="W502" s="100"/>
      <c r="X502" s="100"/>
      <c r="Y502" s="100"/>
    </row>
    <row r="503" spans="3:25" x14ac:dyDescent="0.2">
      <c r="C503" s="100"/>
      <c r="D503" s="100"/>
      <c r="E503" s="100"/>
      <c r="F503" s="100"/>
      <c r="G503" s="100"/>
      <c r="H503" s="101"/>
      <c r="I503" s="100"/>
      <c r="J503" s="100"/>
      <c r="K503" s="100"/>
      <c r="L503" s="100"/>
      <c r="M503" s="101"/>
      <c r="N503" s="100"/>
      <c r="O503" s="100"/>
      <c r="P503" s="100"/>
      <c r="Q503" s="100"/>
      <c r="R503" s="100"/>
      <c r="S503" s="100"/>
      <c r="T503" s="100"/>
      <c r="U503" s="100"/>
      <c r="V503" s="100"/>
      <c r="W503" s="100"/>
      <c r="X503" s="100"/>
      <c r="Y503" s="100"/>
    </row>
    <row r="504" spans="3:25" x14ac:dyDescent="0.2">
      <c r="C504" s="100"/>
      <c r="D504" s="100"/>
      <c r="E504" s="100"/>
      <c r="F504" s="100"/>
      <c r="G504" s="100"/>
      <c r="H504" s="101"/>
      <c r="I504" s="100"/>
      <c r="J504" s="100"/>
      <c r="K504" s="100"/>
      <c r="L504" s="100"/>
      <c r="M504" s="101"/>
      <c r="N504" s="100"/>
      <c r="O504" s="100"/>
      <c r="P504" s="100"/>
      <c r="Q504" s="100"/>
      <c r="R504" s="100"/>
      <c r="S504" s="100"/>
      <c r="T504" s="100"/>
      <c r="U504" s="100"/>
      <c r="V504" s="100"/>
      <c r="W504" s="100"/>
      <c r="X504" s="100"/>
      <c r="Y504" s="100"/>
    </row>
    <row r="505" spans="3:25" x14ac:dyDescent="0.2">
      <c r="C505" s="100"/>
      <c r="D505" s="100"/>
      <c r="E505" s="100"/>
      <c r="F505" s="100"/>
      <c r="G505" s="100"/>
      <c r="H505" s="101"/>
      <c r="I505" s="100"/>
      <c r="J505" s="100"/>
      <c r="K505" s="100"/>
      <c r="L505" s="100"/>
      <c r="M505" s="101"/>
      <c r="N505" s="100"/>
      <c r="O505" s="100"/>
      <c r="P505" s="100"/>
      <c r="Q505" s="100"/>
      <c r="R505" s="100"/>
      <c r="S505" s="100"/>
      <c r="T505" s="100"/>
      <c r="U505" s="100"/>
      <c r="V505" s="100"/>
      <c r="W505" s="100"/>
      <c r="X505" s="100"/>
      <c r="Y505" s="100"/>
    </row>
    <row r="506" spans="3:25" x14ac:dyDescent="0.2">
      <c r="C506" s="100"/>
      <c r="D506" s="100"/>
      <c r="E506" s="100"/>
      <c r="F506" s="100"/>
      <c r="G506" s="100"/>
      <c r="H506" s="101"/>
      <c r="I506" s="100"/>
      <c r="J506" s="100"/>
      <c r="K506" s="100"/>
      <c r="L506" s="100"/>
      <c r="M506" s="101"/>
      <c r="N506" s="100"/>
      <c r="O506" s="100"/>
      <c r="P506" s="100"/>
      <c r="Q506" s="100"/>
      <c r="R506" s="100"/>
      <c r="S506" s="100"/>
      <c r="T506" s="100"/>
      <c r="U506" s="100"/>
      <c r="V506" s="100"/>
      <c r="W506" s="100"/>
      <c r="X506" s="100"/>
      <c r="Y506" s="100"/>
    </row>
    <row r="507" spans="3:25" x14ac:dyDescent="0.2">
      <c r="C507" s="100"/>
      <c r="D507" s="100"/>
      <c r="E507" s="100"/>
      <c r="F507" s="100"/>
      <c r="G507" s="100"/>
      <c r="H507" s="101"/>
      <c r="I507" s="100"/>
      <c r="J507" s="100"/>
      <c r="K507" s="100"/>
      <c r="L507" s="100"/>
      <c r="M507" s="101"/>
      <c r="N507" s="100"/>
      <c r="O507" s="100"/>
      <c r="P507" s="100"/>
      <c r="Q507" s="100"/>
      <c r="R507" s="100"/>
      <c r="S507" s="100"/>
      <c r="T507" s="100"/>
      <c r="U507" s="100"/>
      <c r="V507" s="100"/>
      <c r="W507" s="100"/>
      <c r="X507" s="100"/>
      <c r="Y507" s="100"/>
    </row>
    <row r="508" spans="3:25" x14ac:dyDescent="0.2">
      <c r="C508" s="100"/>
      <c r="D508" s="100"/>
      <c r="E508" s="100"/>
      <c r="F508" s="100"/>
      <c r="G508" s="100"/>
      <c r="H508" s="101"/>
      <c r="I508" s="100"/>
      <c r="J508" s="100"/>
      <c r="K508" s="100"/>
      <c r="L508" s="100"/>
      <c r="M508" s="101"/>
      <c r="N508" s="100"/>
      <c r="O508" s="100"/>
      <c r="P508" s="100"/>
      <c r="Q508" s="100"/>
      <c r="R508" s="100"/>
      <c r="S508" s="100"/>
      <c r="T508" s="100"/>
      <c r="U508" s="100"/>
      <c r="V508" s="100"/>
      <c r="W508" s="100"/>
      <c r="X508" s="100"/>
      <c r="Y508" s="100"/>
    </row>
    <row r="509" spans="3:25" x14ac:dyDescent="0.2">
      <c r="C509" s="100"/>
      <c r="D509" s="100"/>
      <c r="E509" s="100"/>
      <c r="F509" s="100"/>
      <c r="G509" s="100"/>
      <c r="H509" s="101"/>
      <c r="I509" s="100"/>
      <c r="J509" s="100"/>
      <c r="K509" s="100"/>
      <c r="L509" s="100"/>
      <c r="M509" s="101"/>
      <c r="N509" s="100"/>
      <c r="O509" s="100"/>
      <c r="P509" s="100"/>
      <c r="Q509" s="100"/>
      <c r="R509" s="100"/>
      <c r="S509" s="100"/>
      <c r="T509" s="100"/>
      <c r="U509" s="100"/>
      <c r="V509" s="100"/>
      <c r="W509" s="100"/>
      <c r="X509" s="100"/>
      <c r="Y509" s="100"/>
    </row>
    <row r="510" spans="3:25" x14ac:dyDescent="0.2">
      <c r="C510" s="100"/>
      <c r="D510" s="100"/>
      <c r="E510" s="100"/>
      <c r="F510" s="100"/>
      <c r="G510" s="100"/>
      <c r="H510" s="101"/>
      <c r="I510" s="100"/>
      <c r="J510" s="100"/>
      <c r="K510" s="100"/>
      <c r="L510" s="100"/>
      <c r="M510" s="101"/>
      <c r="N510" s="100"/>
      <c r="O510" s="100"/>
      <c r="P510" s="100"/>
      <c r="Q510" s="100"/>
      <c r="R510" s="100"/>
      <c r="S510" s="100"/>
      <c r="T510" s="100"/>
      <c r="U510" s="100"/>
      <c r="V510" s="100"/>
      <c r="W510" s="100"/>
      <c r="X510" s="100"/>
      <c r="Y510" s="100"/>
    </row>
    <row r="511" spans="3:25" x14ac:dyDescent="0.2">
      <c r="C511" s="100"/>
      <c r="D511" s="100"/>
      <c r="E511" s="100"/>
      <c r="F511" s="100"/>
      <c r="G511" s="100"/>
      <c r="H511" s="101"/>
      <c r="I511" s="100"/>
      <c r="J511" s="100"/>
      <c r="K511" s="100"/>
      <c r="L511" s="100"/>
      <c r="M511" s="101"/>
      <c r="N511" s="100"/>
      <c r="O511" s="100"/>
      <c r="P511" s="100"/>
      <c r="Q511" s="100"/>
      <c r="R511" s="100"/>
      <c r="S511" s="100"/>
      <c r="T511" s="100"/>
      <c r="U511" s="100"/>
      <c r="V511" s="100"/>
      <c r="W511" s="100"/>
      <c r="X511" s="100"/>
      <c r="Y511" s="100"/>
    </row>
    <row r="512" spans="3:25" x14ac:dyDescent="0.2">
      <c r="C512" s="100"/>
      <c r="D512" s="100"/>
      <c r="E512" s="100"/>
      <c r="F512" s="100"/>
      <c r="G512" s="100"/>
      <c r="H512" s="101"/>
      <c r="I512" s="100"/>
      <c r="J512" s="100"/>
      <c r="K512" s="100"/>
      <c r="L512" s="100"/>
      <c r="M512" s="101"/>
      <c r="N512" s="100"/>
      <c r="O512" s="100"/>
      <c r="P512" s="100"/>
      <c r="Q512" s="100"/>
      <c r="R512" s="100"/>
      <c r="S512" s="100"/>
      <c r="T512" s="100"/>
      <c r="U512" s="100"/>
      <c r="V512" s="100"/>
      <c r="W512" s="100"/>
      <c r="X512" s="100"/>
      <c r="Y512" s="100"/>
    </row>
    <row r="513" spans="3:25" x14ac:dyDescent="0.2">
      <c r="C513" s="100"/>
      <c r="D513" s="100"/>
      <c r="E513" s="100"/>
      <c r="F513" s="100"/>
      <c r="G513" s="100"/>
      <c r="H513" s="101"/>
      <c r="I513" s="100"/>
      <c r="J513" s="100"/>
      <c r="K513" s="100"/>
      <c r="L513" s="100"/>
      <c r="M513" s="101"/>
      <c r="N513" s="100"/>
      <c r="O513" s="100"/>
      <c r="P513" s="100"/>
      <c r="Q513" s="100"/>
      <c r="R513" s="100"/>
      <c r="S513" s="100"/>
      <c r="T513" s="100"/>
      <c r="U513" s="100"/>
      <c r="V513" s="100"/>
      <c r="W513" s="100"/>
      <c r="X513" s="100"/>
      <c r="Y513" s="100"/>
    </row>
    <row r="514" spans="3:25" x14ac:dyDescent="0.2">
      <c r="C514" s="100"/>
      <c r="D514" s="100"/>
      <c r="E514" s="100"/>
      <c r="F514" s="100"/>
      <c r="G514" s="100"/>
      <c r="H514" s="101"/>
      <c r="I514" s="100"/>
      <c r="J514" s="100"/>
      <c r="K514" s="100"/>
      <c r="L514" s="100"/>
      <c r="M514" s="101"/>
      <c r="N514" s="100"/>
      <c r="O514" s="100"/>
      <c r="P514" s="100"/>
      <c r="Q514" s="100"/>
      <c r="R514" s="100"/>
      <c r="S514" s="100"/>
      <c r="T514" s="100"/>
      <c r="U514" s="100"/>
      <c r="V514" s="100"/>
      <c r="W514" s="100"/>
      <c r="X514" s="100"/>
      <c r="Y514" s="100"/>
    </row>
    <row r="515" spans="3:25" x14ac:dyDescent="0.2">
      <c r="C515" s="100"/>
      <c r="D515" s="100"/>
      <c r="E515" s="100"/>
      <c r="F515" s="100"/>
      <c r="G515" s="100"/>
      <c r="H515" s="101"/>
      <c r="I515" s="100"/>
      <c r="J515" s="100"/>
      <c r="K515" s="100"/>
      <c r="L515" s="100"/>
      <c r="M515" s="101"/>
      <c r="N515" s="100"/>
      <c r="O515" s="100"/>
      <c r="P515" s="100"/>
      <c r="Q515" s="100"/>
      <c r="R515" s="100"/>
      <c r="S515" s="100"/>
      <c r="T515" s="100"/>
      <c r="U515" s="100"/>
      <c r="V515" s="100"/>
      <c r="W515" s="100"/>
      <c r="X515" s="100"/>
      <c r="Y515" s="100"/>
    </row>
    <row r="516" spans="3:25" x14ac:dyDescent="0.2">
      <c r="C516" s="100"/>
      <c r="D516" s="100"/>
      <c r="E516" s="100"/>
      <c r="F516" s="100"/>
      <c r="G516" s="100"/>
      <c r="H516" s="101"/>
      <c r="I516" s="100"/>
      <c r="J516" s="100"/>
      <c r="K516" s="100"/>
      <c r="L516" s="100"/>
      <c r="M516" s="101"/>
      <c r="N516" s="100"/>
      <c r="O516" s="100"/>
      <c r="P516" s="100"/>
      <c r="Q516" s="100"/>
      <c r="R516" s="100"/>
      <c r="S516" s="100"/>
      <c r="T516" s="100"/>
      <c r="U516" s="100"/>
      <c r="V516" s="100"/>
      <c r="W516" s="100"/>
      <c r="X516" s="100"/>
      <c r="Y516" s="100"/>
    </row>
    <row r="517" spans="3:25" x14ac:dyDescent="0.2">
      <c r="C517" s="100"/>
      <c r="D517" s="100"/>
      <c r="E517" s="100"/>
      <c r="F517" s="100"/>
      <c r="G517" s="100"/>
      <c r="H517" s="101"/>
      <c r="I517" s="100"/>
      <c r="J517" s="100"/>
      <c r="K517" s="100"/>
      <c r="L517" s="100"/>
      <c r="M517" s="101"/>
      <c r="N517" s="100"/>
      <c r="O517" s="100"/>
      <c r="P517" s="100"/>
      <c r="Q517" s="100"/>
      <c r="R517" s="100"/>
      <c r="S517" s="100"/>
      <c r="T517" s="100"/>
      <c r="U517" s="100"/>
      <c r="V517" s="100"/>
      <c r="W517" s="100"/>
      <c r="X517" s="100"/>
      <c r="Y517" s="100"/>
    </row>
    <row r="518" spans="3:25" x14ac:dyDescent="0.2">
      <c r="C518" s="100"/>
      <c r="D518" s="100"/>
      <c r="E518" s="100"/>
      <c r="F518" s="100"/>
      <c r="G518" s="100"/>
      <c r="H518" s="101"/>
      <c r="I518" s="100"/>
      <c r="J518" s="100"/>
      <c r="K518" s="100"/>
      <c r="L518" s="100"/>
      <c r="M518" s="101"/>
      <c r="N518" s="100"/>
      <c r="O518" s="100"/>
      <c r="P518" s="100"/>
      <c r="Q518" s="100"/>
      <c r="R518" s="100"/>
      <c r="S518" s="100"/>
      <c r="T518" s="100"/>
      <c r="U518" s="100"/>
      <c r="V518" s="100"/>
      <c r="W518" s="100"/>
      <c r="X518" s="100"/>
      <c r="Y518" s="100"/>
    </row>
    <row r="519" spans="3:25" x14ac:dyDescent="0.2">
      <c r="C519" s="100"/>
      <c r="D519" s="100"/>
      <c r="E519" s="100"/>
      <c r="F519" s="100"/>
      <c r="G519" s="100"/>
      <c r="H519" s="101"/>
      <c r="I519" s="100"/>
      <c r="J519" s="100"/>
      <c r="K519" s="100"/>
      <c r="L519" s="100"/>
      <c r="M519" s="101"/>
      <c r="N519" s="100"/>
      <c r="O519" s="100"/>
      <c r="P519" s="100"/>
      <c r="Q519" s="100"/>
      <c r="R519" s="100"/>
      <c r="S519" s="100"/>
      <c r="T519" s="100"/>
      <c r="U519" s="100"/>
      <c r="V519" s="100"/>
      <c r="W519" s="100"/>
      <c r="X519" s="100"/>
      <c r="Y519" s="100"/>
    </row>
    <row r="520" spans="3:25" x14ac:dyDescent="0.2">
      <c r="C520" s="100"/>
      <c r="D520" s="100"/>
      <c r="E520" s="100"/>
      <c r="F520" s="100"/>
      <c r="G520" s="100"/>
      <c r="H520" s="101"/>
      <c r="I520" s="100"/>
      <c r="J520" s="100"/>
      <c r="K520" s="100"/>
      <c r="L520" s="100"/>
      <c r="M520" s="101"/>
      <c r="N520" s="100"/>
      <c r="O520" s="100"/>
      <c r="P520" s="100"/>
      <c r="Q520" s="100"/>
      <c r="R520" s="100"/>
      <c r="S520" s="100"/>
      <c r="T520" s="100"/>
      <c r="U520" s="100"/>
      <c r="V520" s="100"/>
      <c r="W520" s="100"/>
      <c r="X520" s="100"/>
      <c r="Y520" s="100"/>
    </row>
    <row r="521" spans="3:25" x14ac:dyDescent="0.2">
      <c r="C521" s="100"/>
      <c r="D521" s="100"/>
      <c r="E521" s="100"/>
      <c r="F521" s="100"/>
      <c r="G521" s="100"/>
      <c r="H521" s="101"/>
      <c r="I521" s="100"/>
      <c r="J521" s="100"/>
      <c r="K521" s="100"/>
      <c r="L521" s="100"/>
      <c r="M521" s="101"/>
      <c r="N521" s="100"/>
      <c r="O521" s="100"/>
      <c r="P521" s="100"/>
      <c r="Q521" s="100"/>
      <c r="R521" s="100"/>
      <c r="S521" s="100"/>
      <c r="T521" s="100"/>
      <c r="U521" s="100"/>
      <c r="V521" s="100"/>
      <c r="W521" s="100"/>
      <c r="X521" s="100"/>
      <c r="Y521" s="100"/>
    </row>
    <row r="522" spans="3:25" x14ac:dyDescent="0.2">
      <c r="C522" s="100"/>
      <c r="D522" s="100"/>
      <c r="E522" s="100"/>
      <c r="F522" s="100"/>
      <c r="G522" s="100"/>
      <c r="H522" s="101"/>
      <c r="I522" s="100"/>
      <c r="J522" s="100"/>
      <c r="K522" s="100"/>
      <c r="L522" s="100"/>
      <c r="M522" s="101"/>
      <c r="N522" s="100"/>
      <c r="O522" s="100"/>
      <c r="P522" s="100"/>
      <c r="Q522" s="100"/>
      <c r="R522" s="100"/>
      <c r="S522" s="100"/>
      <c r="T522" s="100"/>
      <c r="U522" s="100"/>
      <c r="V522" s="100"/>
      <c r="W522" s="100"/>
      <c r="X522" s="100"/>
      <c r="Y522" s="100"/>
    </row>
    <row r="523" spans="3:25" x14ac:dyDescent="0.2">
      <c r="C523" s="100"/>
      <c r="D523" s="100"/>
      <c r="E523" s="100"/>
      <c r="F523" s="100"/>
      <c r="G523" s="100"/>
      <c r="H523" s="101"/>
      <c r="I523" s="100"/>
      <c r="J523" s="100"/>
      <c r="K523" s="100"/>
      <c r="L523" s="100"/>
      <c r="M523" s="101"/>
      <c r="N523" s="100"/>
      <c r="O523" s="100"/>
      <c r="P523" s="100"/>
      <c r="Q523" s="100"/>
      <c r="R523" s="100"/>
      <c r="S523" s="100"/>
      <c r="T523" s="100"/>
      <c r="U523" s="100"/>
      <c r="V523" s="100"/>
      <c r="W523" s="100"/>
      <c r="X523" s="100"/>
      <c r="Y523" s="100"/>
    </row>
    <row r="524" spans="3:25" x14ac:dyDescent="0.2">
      <c r="C524" s="100"/>
      <c r="D524" s="100"/>
      <c r="E524" s="100"/>
      <c r="F524" s="100"/>
      <c r="G524" s="100"/>
      <c r="H524" s="101"/>
      <c r="I524" s="100"/>
      <c r="J524" s="100"/>
      <c r="K524" s="100"/>
      <c r="L524" s="100"/>
      <c r="M524" s="101"/>
      <c r="N524" s="100"/>
      <c r="O524" s="100"/>
      <c r="P524" s="100"/>
      <c r="Q524" s="100"/>
      <c r="R524" s="100"/>
      <c r="S524" s="100"/>
      <c r="T524" s="100"/>
      <c r="U524" s="100"/>
      <c r="V524" s="100"/>
      <c r="W524" s="100"/>
      <c r="X524" s="100"/>
      <c r="Y524" s="100"/>
    </row>
    <row r="525" spans="3:25" x14ac:dyDescent="0.2">
      <c r="C525" s="100"/>
      <c r="D525" s="100"/>
      <c r="E525" s="100"/>
      <c r="F525" s="100"/>
      <c r="G525" s="100"/>
      <c r="H525" s="101"/>
      <c r="I525" s="100"/>
      <c r="J525" s="100"/>
      <c r="K525" s="100"/>
      <c r="L525" s="100"/>
      <c r="M525" s="101"/>
      <c r="N525" s="100"/>
      <c r="O525" s="100"/>
      <c r="P525" s="100"/>
      <c r="Q525" s="100"/>
      <c r="R525" s="100"/>
      <c r="S525" s="100"/>
      <c r="T525" s="100"/>
      <c r="U525" s="100"/>
      <c r="V525" s="100"/>
      <c r="W525" s="100"/>
      <c r="X525" s="100"/>
      <c r="Y525" s="100"/>
    </row>
    <row r="526" spans="3:25" x14ac:dyDescent="0.2">
      <c r="C526" s="100"/>
      <c r="D526" s="100"/>
      <c r="E526" s="100"/>
      <c r="F526" s="100"/>
      <c r="G526" s="100"/>
      <c r="H526" s="101"/>
      <c r="I526" s="100"/>
      <c r="J526" s="100"/>
      <c r="K526" s="100"/>
      <c r="L526" s="100"/>
      <c r="M526" s="101"/>
      <c r="N526" s="100"/>
      <c r="O526" s="100"/>
      <c r="P526" s="100"/>
      <c r="Q526" s="100"/>
      <c r="R526" s="100"/>
      <c r="S526" s="100"/>
      <c r="T526" s="100"/>
      <c r="U526" s="100"/>
      <c r="V526" s="100"/>
      <c r="W526" s="100"/>
      <c r="X526" s="100"/>
      <c r="Y526" s="100"/>
    </row>
    <row r="527" spans="3:25" x14ac:dyDescent="0.2">
      <c r="C527" s="100"/>
      <c r="D527" s="100"/>
      <c r="E527" s="100"/>
      <c r="F527" s="100"/>
      <c r="G527" s="100"/>
      <c r="H527" s="101"/>
      <c r="I527" s="100"/>
      <c r="J527" s="100"/>
      <c r="K527" s="100"/>
      <c r="L527" s="100"/>
      <c r="M527" s="101"/>
      <c r="N527" s="100"/>
      <c r="O527" s="100"/>
      <c r="P527" s="100"/>
      <c r="Q527" s="100"/>
      <c r="R527" s="100"/>
      <c r="S527" s="100"/>
      <c r="T527" s="100"/>
      <c r="U527" s="100"/>
      <c r="V527" s="100"/>
      <c r="W527" s="100"/>
      <c r="X527" s="100"/>
      <c r="Y527" s="100"/>
    </row>
    <row r="528" spans="3:25" x14ac:dyDescent="0.2">
      <c r="C528" s="100"/>
      <c r="D528" s="100"/>
      <c r="E528" s="100"/>
      <c r="F528" s="100"/>
      <c r="G528" s="100"/>
      <c r="H528" s="101"/>
      <c r="I528" s="100"/>
      <c r="J528" s="100"/>
      <c r="K528" s="100"/>
      <c r="L528" s="100"/>
      <c r="M528" s="101"/>
      <c r="N528" s="100"/>
      <c r="O528" s="100"/>
      <c r="P528" s="100"/>
      <c r="Q528" s="100"/>
      <c r="R528" s="100"/>
      <c r="S528" s="100"/>
      <c r="T528" s="100"/>
      <c r="U528" s="100"/>
      <c r="V528" s="100"/>
      <c r="W528" s="100"/>
      <c r="X528" s="100"/>
      <c r="Y528" s="100"/>
    </row>
    <row r="529" spans="3:25" x14ac:dyDescent="0.2">
      <c r="C529" s="100"/>
      <c r="D529" s="100"/>
      <c r="E529" s="100"/>
      <c r="F529" s="100"/>
      <c r="G529" s="100"/>
      <c r="H529" s="101"/>
      <c r="I529" s="100"/>
      <c r="J529" s="100"/>
      <c r="K529" s="100"/>
      <c r="L529" s="100"/>
      <c r="M529" s="101"/>
      <c r="N529" s="100"/>
      <c r="O529" s="100"/>
      <c r="P529" s="100"/>
      <c r="Q529" s="100"/>
      <c r="R529" s="100"/>
      <c r="S529" s="100"/>
      <c r="T529" s="100"/>
      <c r="U529" s="100"/>
      <c r="V529" s="100"/>
      <c r="W529" s="100"/>
      <c r="X529" s="100"/>
      <c r="Y529" s="100"/>
    </row>
    <row r="530" spans="3:25" x14ac:dyDescent="0.2">
      <c r="C530" s="100"/>
      <c r="D530" s="100"/>
      <c r="E530" s="100"/>
      <c r="F530" s="100"/>
      <c r="G530" s="100"/>
      <c r="H530" s="101"/>
      <c r="I530" s="100"/>
      <c r="J530" s="100"/>
      <c r="K530" s="100"/>
      <c r="L530" s="100"/>
      <c r="M530" s="101"/>
      <c r="N530" s="100"/>
      <c r="O530" s="100"/>
      <c r="P530" s="100"/>
      <c r="Q530" s="100"/>
      <c r="R530" s="100"/>
      <c r="S530" s="100"/>
      <c r="T530" s="100"/>
      <c r="U530" s="100"/>
      <c r="V530" s="100"/>
      <c r="W530" s="100"/>
      <c r="X530" s="100"/>
      <c r="Y530" s="100"/>
    </row>
    <row r="531" spans="3:25" x14ac:dyDescent="0.2">
      <c r="C531" s="100"/>
      <c r="D531" s="100"/>
      <c r="E531" s="100"/>
      <c r="F531" s="100"/>
      <c r="G531" s="100"/>
      <c r="H531" s="101"/>
      <c r="I531" s="100"/>
      <c r="J531" s="100"/>
      <c r="K531" s="100"/>
      <c r="L531" s="100"/>
      <c r="M531" s="101"/>
      <c r="N531" s="100"/>
      <c r="O531" s="100"/>
      <c r="P531" s="100"/>
      <c r="Q531" s="100"/>
      <c r="R531" s="100"/>
      <c r="S531" s="100"/>
      <c r="T531" s="100"/>
      <c r="U531" s="100"/>
      <c r="V531" s="100"/>
      <c r="W531" s="100"/>
      <c r="X531" s="100"/>
      <c r="Y531" s="100"/>
    </row>
    <row r="532" spans="3:25" x14ac:dyDescent="0.2">
      <c r="C532" s="100"/>
      <c r="D532" s="100"/>
      <c r="E532" s="100"/>
      <c r="F532" s="100"/>
      <c r="G532" s="100"/>
      <c r="H532" s="101"/>
      <c r="I532" s="100"/>
      <c r="J532" s="100"/>
      <c r="K532" s="100"/>
      <c r="L532" s="100"/>
      <c r="M532" s="101"/>
      <c r="N532" s="100"/>
      <c r="O532" s="100"/>
      <c r="P532" s="100"/>
      <c r="Q532" s="100"/>
      <c r="R532" s="100"/>
      <c r="S532" s="100"/>
      <c r="T532" s="100"/>
      <c r="U532" s="100"/>
      <c r="V532" s="100"/>
      <c r="W532" s="100"/>
      <c r="X532" s="100"/>
      <c r="Y532" s="100"/>
    </row>
    <row r="533" spans="3:25" x14ac:dyDescent="0.2">
      <c r="C533" s="100"/>
      <c r="D533" s="100"/>
      <c r="E533" s="100"/>
      <c r="F533" s="100"/>
      <c r="G533" s="100"/>
      <c r="H533" s="101"/>
      <c r="I533" s="100"/>
      <c r="J533" s="100"/>
      <c r="K533" s="100"/>
      <c r="L533" s="100"/>
      <c r="M533" s="101"/>
      <c r="N533" s="100"/>
      <c r="O533" s="100"/>
      <c r="P533" s="100"/>
      <c r="Q533" s="100"/>
      <c r="R533" s="100"/>
      <c r="S533" s="100"/>
      <c r="T533" s="100"/>
      <c r="U533" s="100"/>
      <c r="V533" s="100"/>
      <c r="W533" s="100"/>
      <c r="X533" s="100"/>
      <c r="Y533" s="100"/>
    </row>
    <row r="534" spans="3:25" x14ac:dyDescent="0.2">
      <c r="C534" s="100"/>
      <c r="D534" s="100"/>
      <c r="E534" s="100"/>
      <c r="F534" s="100"/>
      <c r="G534" s="100"/>
      <c r="H534" s="101"/>
      <c r="I534" s="100"/>
      <c r="J534" s="100"/>
      <c r="K534" s="100"/>
      <c r="L534" s="100"/>
      <c r="M534" s="101"/>
      <c r="N534" s="100"/>
      <c r="O534" s="100"/>
      <c r="P534" s="100"/>
      <c r="Q534" s="100"/>
      <c r="R534" s="100"/>
      <c r="S534" s="100"/>
      <c r="T534" s="100"/>
      <c r="U534" s="100"/>
      <c r="V534" s="100"/>
      <c r="W534" s="100"/>
      <c r="X534" s="100"/>
      <c r="Y534" s="100"/>
    </row>
    <row r="535" spans="3:25" x14ac:dyDescent="0.2">
      <c r="C535" s="100"/>
      <c r="D535" s="100"/>
      <c r="E535" s="100"/>
      <c r="F535" s="100"/>
      <c r="G535" s="100"/>
      <c r="H535" s="101"/>
      <c r="I535" s="100"/>
      <c r="J535" s="100"/>
      <c r="K535" s="100"/>
      <c r="L535" s="100"/>
      <c r="M535" s="101"/>
      <c r="N535" s="100"/>
      <c r="O535" s="100"/>
      <c r="P535" s="100"/>
      <c r="Q535" s="100"/>
      <c r="R535" s="100"/>
      <c r="S535" s="100"/>
      <c r="T535" s="100"/>
      <c r="U535" s="100"/>
      <c r="V535" s="100"/>
      <c r="W535" s="100"/>
      <c r="X535" s="100"/>
      <c r="Y535" s="100"/>
    </row>
    <row r="536" spans="3:25" x14ac:dyDescent="0.2">
      <c r="C536" s="100"/>
      <c r="D536" s="100"/>
      <c r="E536" s="100"/>
      <c r="F536" s="100"/>
      <c r="G536" s="100"/>
      <c r="H536" s="101"/>
      <c r="I536" s="100"/>
      <c r="J536" s="100"/>
      <c r="K536" s="100"/>
      <c r="L536" s="100"/>
      <c r="M536" s="101"/>
      <c r="N536" s="100"/>
      <c r="O536" s="100"/>
      <c r="P536" s="100"/>
      <c r="Q536" s="100"/>
      <c r="R536" s="100"/>
      <c r="S536" s="100"/>
      <c r="T536" s="100"/>
      <c r="U536" s="100"/>
      <c r="V536" s="100"/>
      <c r="W536" s="100"/>
      <c r="X536" s="100"/>
      <c r="Y536" s="100"/>
    </row>
    <row r="537" spans="3:25" x14ac:dyDescent="0.2">
      <c r="C537" s="100"/>
      <c r="D537" s="100"/>
      <c r="E537" s="100"/>
      <c r="F537" s="100"/>
      <c r="G537" s="100"/>
      <c r="H537" s="101"/>
      <c r="I537" s="100"/>
      <c r="J537" s="100"/>
      <c r="K537" s="100"/>
      <c r="L537" s="100"/>
      <c r="M537" s="101"/>
      <c r="N537" s="100"/>
      <c r="O537" s="100"/>
      <c r="P537" s="100"/>
      <c r="Q537" s="100"/>
      <c r="R537" s="100"/>
      <c r="S537" s="100"/>
      <c r="T537" s="100"/>
      <c r="U537" s="100"/>
      <c r="V537" s="100"/>
      <c r="W537" s="100"/>
      <c r="X537" s="100"/>
      <c r="Y537" s="100"/>
    </row>
    <row r="538" spans="3:25" x14ac:dyDescent="0.2">
      <c r="C538" s="100"/>
      <c r="D538" s="100"/>
      <c r="E538" s="100"/>
      <c r="F538" s="100"/>
      <c r="G538" s="100"/>
      <c r="H538" s="101"/>
      <c r="I538" s="100"/>
      <c r="J538" s="100"/>
      <c r="K538" s="100"/>
      <c r="L538" s="100"/>
      <c r="M538" s="101"/>
      <c r="N538" s="100"/>
      <c r="O538" s="100"/>
      <c r="P538" s="100"/>
      <c r="Q538" s="100"/>
      <c r="R538" s="100"/>
      <c r="S538" s="100"/>
      <c r="T538" s="100"/>
      <c r="U538" s="100"/>
      <c r="V538" s="100"/>
      <c r="W538" s="100"/>
      <c r="X538" s="100"/>
      <c r="Y538" s="100"/>
    </row>
    <row r="539" spans="3:25" x14ac:dyDescent="0.2">
      <c r="C539" s="100"/>
      <c r="D539" s="100"/>
      <c r="E539" s="100"/>
      <c r="F539" s="100"/>
      <c r="G539" s="100"/>
      <c r="H539" s="101"/>
      <c r="I539" s="100"/>
      <c r="J539" s="100"/>
      <c r="K539" s="100"/>
      <c r="L539" s="100"/>
      <c r="M539" s="101"/>
      <c r="N539" s="100"/>
      <c r="O539" s="100"/>
      <c r="P539" s="100"/>
      <c r="Q539" s="100"/>
      <c r="R539" s="100"/>
      <c r="S539" s="100"/>
      <c r="T539" s="100"/>
      <c r="U539" s="100"/>
      <c r="V539" s="100"/>
      <c r="W539" s="100"/>
      <c r="X539" s="100"/>
      <c r="Y539" s="100"/>
    </row>
    <row r="540" spans="3:25" x14ac:dyDescent="0.2">
      <c r="C540" s="100"/>
      <c r="D540" s="100"/>
      <c r="E540" s="100"/>
      <c r="F540" s="100"/>
      <c r="G540" s="100"/>
      <c r="H540" s="101"/>
      <c r="I540" s="100"/>
      <c r="J540" s="100"/>
      <c r="K540" s="100"/>
      <c r="L540" s="100"/>
      <c r="M540" s="101"/>
      <c r="N540" s="100"/>
      <c r="O540" s="100"/>
      <c r="P540" s="100"/>
      <c r="Q540" s="100"/>
      <c r="R540" s="100"/>
      <c r="S540" s="100"/>
      <c r="T540" s="100"/>
      <c r="U540" s="100"/>
      <c r="V540" s="100"/>
      <c r="W540" s="100"/>
      <c r="X540" s="100"/>
      <c r="Y540" s="100"/>
    </row>
    <row r="541" spans="3:25" x14ac:dyDescent="0.2">
      <c r="C541" s="100"/>
      <c r="D541" s="100"/>
      <c r="E541" s="100"/>
      <c r="F541" s="100"/>
      <c r="G541" s="100"/>
      <c r="H541" s="101"/>
      <c r="I541" s="100"/>
      <c r="J541" s="100"/>
      <c r="K541" s="100"/>
      <c r="L541" s="100"/>
      <c r="M541" s="101"/>
      <c r="N541" s="100"/>
      <c r="O541" s="100"/>
      <c r="P541" s="100"/>
      <c r="Q541" s="100"/>
      <c r="R541" s="100"/>
      <c r="S541" s="100"/>
      <c r="T541" s="100"/>
      <c r="U541" s="100"/>
      <c r="V541" s="100"/>
      <c r="W541" s="100"/>
      <c r="X541" s="100"/>
      <c r="Y541" s="100"/>
    </row>
    <row r="542" spans="3:25" x14ac:dyDescent="0.2">
      <c r="C542" s="100"/>
      <c r="D542" s="100"/>
      <c r="E542" s="100"/>
      <c r="F542" s="100"/>
      <c r="G542" s="100"/>
      <c r="H542" s="101"/>
      <c r="I542" s="100"/>
      <c r="J542" s="100"/>
      <c r="K542" s="100"/>
      <c r="L542" s="100"/>
      <c r="M542" s="101"/>
      <c r="N542" s="100"/>
      <c r="O542" s="100"/>
      <c r="P542" s="100"/>
      <c r="Q542" s="100"/>
      <c r="R542" s="100"/>
      <c r="S542" s="100"/>
      <c r="T542" s="100"/>
      <c r="U542" s="100"/>
      <c r="V542" s="100"/>
      <c r="W542" s="100"/>
      <c r="X542" s="100"/>
      <c r="Y542" s="100"/>
    </row>
    <row r="543" spans="3:25" x14ac:dyDescent="0.2">
      <c r="C543" s="100"/>
      <c r="D543" s="100"/>
      <c r="E543" s="100"/>
      <c r="F543" s="100"/>
      <c r="G543" s="100"/>
      <c r="H543" s="101"/>
      <c r="I543" s="100"/>
      <c r="J543" s="100"/>
      <c r="K543" s="100"/>
      <c r="L543" s="100"/>
      <c r="M543" s="101"/>
      <c r="N543" s="100"/>
      <c r="O543" s="100"/>
      <c r="P543" s="100"/>
      <c r="Q543" s="100"/>
      <c r="R543" s="100"/>
      <c r="S543" s="100"/>
      <c r="T543" s="100"/>
      <c r="U543" s="100"/>
      <c r="V543" s="100"/>
      <c r="W543" s="100"/>
      <c r="X543" s="100"/>
      <c r="Y543" s="100"/>
    </row>
    <row r="544" spans="3:25" x14ac:dyDescent="0.2">
      <c r="C544" s="100"/>
      <c r="D544" s="100"/>
      <c r="E544" s="100"/>
      <c r="F544" s="100"/>
      <c r="G544" s="100"/>
      <c r="H544" s="101"/>
      <c r="I544" s="100"/>
      <c r="J544" s="100"/>
      <c r="K544" s="100"/>
      <c r="L544" s="100"/>
      <c r="M544" s="101"/>
      <c r="N544" s="100"/>
      <c r="O544" s="100"/>
      <c r="P544" s="100"/>
      <c r="Q544" s="100"/>
      <c r="R544" s="100"/>
      <c r="S544" s="100"/>
      <c r="T544" s="100"/>
      <c r="U544" s="100"/>
      <c r="V544" s="100"/>
      <c r="W544" s="100"/>
      <c r="X544" s="100"/>
      <c r="Y544" s="100"/>
    </row>
    <row r="545" spans="3:25" x14ac:dyDescent="0.2">
      <c r="C545" s="100"/>
      <c r="D545" s="100"/>
      <c r="E545" s="100"/>
      <c r="F545" s="100"/>
      <c r="G545" s="100"/>
      <c r="H545" s="101"/>
      <c r="I545" s="100"/>
      <c r="J545" s="100"/>
      <c r="K545" s="100"/>
      <c r="L545" s="100"/>
      <c r="M545" s="101"/>
      <c r="N545" s="100"/>
      <c r="O545" s="100"/>
      <c r="P545" s="100"/>
      <c r="Q545" s="100"/>
      <c r="R545" s="100"/>
      <c r="S545" s="100"/>
      <c r="T545" s="100"/>
      <c r="U545" s="100"/>
      <c r="V545" s="100"/>
      <c r="W545" s="100"/>
      <c r="X545" s="100"/>
      <c r="Y545" s="100"/>
    </row>
    <row r="546" spans="3:25" x14ac:dyDescent="0.2">
      <c r="C546" s="100"/>
      <c r="D546" s="100"/>
      <c r="E546" s="100"/>
      <c r="F546" s="100"/>
      <c r="G546" s="100"/>
      <c r="H546" s="101"/>
      <c r="I546" s="100"/>
      <c r="J546" s="100"/>
      <c r="K546" s="100"/>
      <c r="L546" s="100"/>
      <c r="M546" s="101"/>
      <c r="N546" s="100"/>
      <c r="O546" s="100"/>
      <c r="P546" s="100"/>
      <c r="Q546" s="100"/>
      <c r="R546" s="100"/>
      <c r="S546" s="100"/>
      <c r="T546" s="100"/>
      <c r="U546" s="100"/>
      <c r="V546" s="100"/>
      <c r="W546" s="100"/>
      <c r="X546" s="100"/>
      <c r="Y546" s="100"/>
    </row>
    <row r="547" spans="3:25" x14ac:dyDescent="0.2">
      <c r="C547" s="100"/>
      <c r="D547" s="100"/>
      <c r="E547" s="100"/>
      <c r="F547" s="100"/>
      <c r="G547" s="100"/>
      <c r="H547" s="101"/>
      <c r="I547" s="100"/>
      <c r="J547" s="100"/>
      <c r="K547" s="100"/>
      <c r="L547" s="100"/>
      <c r="M547" s="101"/>
      <c r="N547" s="100"/>
      <c r="O547" s="100"/>
      <c r="P547" s="100"/>
      <c r="Q547" s="100"/>
      <c r="R547" s="100"/>
      <c r="S547" s="100"/>
      <c r="T547" s="100"/>
      <c r="U547" s="100"/>
      <c r="V547" s="100"/>
      <c r="W547" s="100"/>
      <c r="X547" s="100"/>
      <c r="Y547" s="100"/>
    </row>
    <row r="548" spans="3:25" x14ac:dyDescent="0.2">
      <c r="C548" s="100"/>
      <c r="D548" s="100"/>
      <c r="E548" s="100"/>
      <c r="F548" s="100"/>
      <c r="G548" s="100"/>
      <c r="H548" s="101"/>
      <c r="I548" s="100"/>
      <c r="J548" s="100"/>
      <c r="K548" s="100"/>
      <c r="L548" s="100"/>
      <c r="M548" s="101"/>
      <c r="N548" s="100"/>
      <c r="O548" s="100"/>
      <c r="P548" s="100"/>
      <c r="Q548" s="100"/>
      <c r="R548" s="100"/>
      <c r="S548" s="100"/>
      <c r="T548" s="100"/>
      <c r="U548" s="100"/>
      <c r="V548" s="100"/>
      <c r="W548" s="100"/>
      <c r="X548" s="100"/>
      <c r="Y548" s="100"/>
    </row>
    <row r="549" spans="3:25" x14ac:dyDescent="0.2">
      <c r="C549" s="100"/>
      <c r="D549" s="100"/>
      <c r="E549" s="100"/>
      <c r="F549" s="100"/>
      <c r="G549" s="100"/>
      <c r="H549" s="101"/>
      <c r="I549" s="100"/>
      <c r="J549" s="100"/>
      <c r="K549" s="100"/>
      <c r="L549" s="100"/>
      <c r="M549" s="101"/>
      <c r="N549" s="100"/>
      <c r="O549" s="100"/>
      <c r="P549" s="100"/>
      <c r="Q549" s="100"/>
      <c r="R549" s="100"/>
      <c r="S549" s="100"/>
      <c r="T549" s="100"/>
      <c r="U549" s="100"/>
      <c r="V549" s="100"/>
      <c r="W549" s="100"/>
      <c r="X549" s="100"/>
      <c r="Y549" s="100"/>
    </row>
    <row r="550" spans="3:25" x14ac:dyDescent="0.2">
      <c r="C550" s="100"/>
      <c r="D550" s="100"/>
      <c r="E550" s="100"/>
      <c r="F550" s="100"/>
      <c r="G550" s="100"/>
      <c r="H550" s="101"/>
      <c r="I550" s="100"/>
      <c r="J550" s="100"/>
      <c r="K550" s="100"/>
      <c r="L550" s="100"/>
      <c r="M550" s="101"/>
      <c r="N550" s="100"/>
      <c r="O550" s="100"/>
      <c r="P550" s="100"/>
      <c r="Q550" s="100"/>
      <c r="R550" s="100"/>
      <c r="S550" s="100"/>
      <c r="T550" s="100"/>
      <c r="U550" s="100"/>
      <c r="V550" s="100"/>
      <c r="W550" s="100"/>
      <c r="X550" s="100"/>
      <c r="Y550" s="100"/>
    </row>
    <row r="551" spans="3:25" x14ac:dyDescent="0.2">
      <c r="C551" s="100"/>
      <c r="D551" s="100"/>
      <c r="E551" s="100"/>
      <c r="F551" s="100"/>
      <c r="G551" s="100"/>
      <c r="H551" s="101"/>
      <c r="I551" s="100"/>
      <c r="J551" s="100"/>
      <c r="K551" s="100"/>
      <c r="L551" s="100"/>
      <c r="M551" s="101"/>
      <c r="N551" s="100"/>
      <c r="O551" s="100"/>
      <c r="P551" s="100"/>
      <c r="Q551" s="100"/>
      <c r="R551" s="100"/>
      <c r="S551" s="100"/>
      <c r="T551" s="100"/>
      <c r="U551" s="100"/>
      <c r="V551" s="100"/>
      <c r="W551" s="100"/>
      <c r="X551" s="100"/>
      <c r="Y551" s="100"/>
    </row>
    <row r="552" spans="3:25" x14ac:dyDescent="0.2">
      <c r="C552" s="100"/>
      <c r="D552" s="100"/>
      <c r="E552" s="100"/>
      <c r="F552" s="100"/>
      <c r="G552" s="100"/>
      <c r="H552" s="101"/>
      <c r="I552" s="100"/>
      <c r="J552" s="100"/>
      <c r="K552" s="100"/>
      <c r="L552" s="100"/>
      <c r="M552" s="101"/>
      <c r="N552" s="100"/>
      <c r="O552" s="100"/>
      <c r="P552" s="100"/>
      <c r="Q552" s="100"/>
      <c r="R552" s="100"/>
      <c r="S552" s="100"/>
      <c r="T552" s="100"/>
      <c r="U552" s="100"/>
      <c r="V552" s="100"/>
      <c r="W552" s="100"/>
      <c r="X552" s="100"/>
      <c r="Y552" s="100"/>
    </row>
    <row r="553" spans="3:25" x14ac:dyDescent="0.2">
      <c r="C553" s="100"/>
      <c r="D553" s="100"/>
      <c r="E553" s="100"/>
      <c r="F553" s="100"/>
      <c r="G553" s="100"/>
      <c r="H553" s="101"/>
      <c r="I553" s="100"/>
      <c r="J553" s="100"/>
      <c r="K553" s="100"/>
      <c r="L553" s="100"/>
      <c r="M553" s="101"/>
      <c r="N553" s="100"/>
      <c r="O553" s="100"/>
      <c r="P553" s="100"/>
      <c r="Q553" s="100"/>
      <c r="R553" s="100"/>
      <c r="S553" s="100"/>
      <c r="T553" s="100"/>
      <c r="U553" s="100"/>
      <c r="V553" s="100"/>
      <c r="W553" s="100"/>
      <c r="X553" s="100"/>
      <c r="Y553" s="100"/>
    </row>
    <row r="554" spans="3:25" x14ac:dyDescent="0.2">
      <c r="C554" s="100"/>
      <c r="D554" s="100"/>
      <c r="E554" s="100"/>
      <c r="F554" s="100"/>
      <c r="G554" s="100"/>
      <c r="H554" s="101"/>
      <c r="I554" s="100"/>
      <c r="J554" s="100"/>
      <c r="K554" s="100"/>
      <c r="L554" s="100"/>
      <c r="M554" s="101"/>
      <c r="N554" s="100"/>
      <c r="O554" s="100"/>
      <c r="P554" s="100"/>
      <c r="Q554" s="100"/>
      <c r="R554" s="100"/>
      <c r="S554" s="100"/>
      <c r="T554" s="100"/>
      <c r="U554" s="100"/>
      <c r="V554" s="100"/>
      <c r="W554" s="100"/>
      <c r="X554" s="100"/>
      <c r="Y554" s="100"/>
    </row>
    <row r="555" spans="3:25" x14ac:dyDescent="0.2">
      <c r="C555" s="100"/>
      <c r="D555" s="100"/>
      <c r="E555" s="100"/>
      <c r="F555" s="100"/>
      <c r="G555" s="100"/>
      <c r="H555" s="101"/>
      <c r="I555" s="100"/>
      <c r="J555" s="100"/>
      <c r="K555" s="100"/>
      <c r="L555" s="100"/>
      <c r="M555" s="101"/>
      <c r="N555" s="100"/>
      <c r="O555" s="100"/>
      <c r="P555" s="100"/>
      <c r="Q555" s="100"/>
      <c r="R555" s="100"/>
      <c r="S555" s="100"/>
      <c r="T555" s="100"/>
      <c r="U555" s="100"/>
      <c r="V555" s="100"/>
      <c r="W555" s="100"/>
      <c r="X555" s="100"/>
      <c r="Y555" s="100"/>
    </row>
    <row r="556" spans="3:25" x14ac:dyDescent="0.2">
      <c r="C556" s="100"/>
      <c r="D556" s="100"/>
      <c r="E556" s="100"/>
      <c r="F556" s="100"/>
      <c r="G556" s="100"/>
      <c r="H556" s="101"/>
      <c r="I556" s="100"/>
      <c r="J556" s="100"/>
      <c r="K556" s="100"/>
      <c r="L556" s="100"/>
      <c r="M556" s="101"/>
      <c r="N556" s="100"/>
      <c r="O556" s="100"/>
      <c r="P556" s="100"/>
      <c r="Q556" s="100"/>
      <c r="R556" s="100"/>
      <c r="S556" s="100"/>
      <c r="T556" s="100"/>
      <c r="U556" s="100"/>
      <c r="V556" s="100"/>
      <c r="W556" s="100"/>
      <c r="X556" s="100"/>
      <c r="Y556" s="100"/>
    </row>
    <row r="557" spans="3:25" x14ac:dyDescent="0.2">
      <c r="C557" s="100"/>
      <c r="D557" s="100"/>
      <c r="E557" s="100"/>
      <c r="F557" s="100"/>
      <c r="G557" s="100"/>
      <c r="H557" s="101"/>
      <c r="I557" s="100"/>
      <c r="J557" s="100"/>
      <c r="K557" s="100"/>
      <c r="L557" s="100"/>
      <c r="M557" s="101"/>
      <c r="N557" s="100"/>
      <c r="O557" s="100"/>
      <c r="P557" s="100"/>
      <c r="Q557" s="100"/>
      <c r="R557" s="100"/>
      <c r="S557" s="100"/>
      <c r="T557" s="100"/>
      <c r="U557" s="100"/>
      <c r="V557" s="100"/>
      <c r="W557" s="100"/>
      <c r="X557" s="100"/>
      <c r="Y557" s="100"/>
    </row>
    <row r="558" spans="3:25" x14ac:dyDescent="0.2">
      <c r="C558" s="100"/>
      <c r="D558" s="100"/>
      <c r="E558" s="100"/>
      <c r="F558" s="100"/>
      <c r="G558" s="100"/>
      <c r="H558" s="101"/>
      <c r="I558" s="100"/>
      <c r="J558" s="100"/>
      <c r="K558" s="100"/>
      <c r="L558" s="100"/>
      <c r="M558" s="101"/>
      <c r="N558" s="100"/>
      <c r="O558" s="100"/>
      <c r="P558" s="100"/>
      <c r="Q558" s="100"/>
      <c r="R558" s="100"/>
      <c r="S558" s="100"/>
      <c r="T558" s="100"/>
      <c r="U558" s="100"/>
      <c r="V558" s="100"/>
      <c r="W558" s="100"/>
      <c r="X558" s="100"/>
      <c r="Y558" s="100"/>
    </row>
    <row r="559" spans="3:25" x14ac:dyDescent="0.2">
      <c r="C559" s="100"/>
      <c r="D559" s="100"/>
      <c r="E559" s="100"/>
      <c r="F559" s="100"/>
      <c r="G559" s="100"/>
      <c r="H559" s="101"/>
      <c r="I559" s="100"/>
      <c r="J559" s="100"/>
      <c r="K559" s="100"/>
      <c r="L559" s="100"/>
      <c r="M559" s="101"/>
      <c r="N559" s="100"/>
      <c r="O559" s="100"/>
      <c r="P559" s="100"/>
      <c r="Q559" s="100"/>
      <c r="R559" s="100"/>
      <c r="S559" s="100"/>
      <c r="T559" s="100"/>
      <c r="U559" s="100"/>
      <c r="V559" s="100"/>
      <c r="W559" s="100"/>
      <c r="X559" s="100"/>
      <c r="Y559" s="100"/>
    </row>
    <row r="560" spans="3:25" x14ac:dyDescent="0.2">
      <c r="C560" s="100"/>
      <c r="D560" s="100"/>
      <c r="E560" s="100"/>
      <c r="F560" s="100"/>
      <c r="G560" s="100"/>
      <c r="H560" s="101"/>
      <c r="I560" s="100"/>
      <c r="J560" s="100"/>
      <c r="K560" s="100"/>
      <c r="L560" s="100"/>
      <c r="M560" s="101"/>
      <c r="N560" s="100"/>
      <c r="O560" s="100"/>
      <c r="P560" s="100"/>
      <c r="Q560" s="100"/>
      <c r="R560" s="100"/>
      <c r="S560" s="100"/>
      <c r="T560" s="100"/>
      <c r="U560" s="100"/>
      <c r="V560" s="100"/>
      <c r="W560" s="100"/>
      <c r="X560" s="100"/>
      <c r="Y560" s="100"/>
    </row>
    <row r="561" spans="3:25" x14ac:dyDescent="0.2">
      <c r="C561" s="100"/>
      <c r="D561" s="100"/>
      <c r="E561" s="100"/>
      <c r="F561" s="100"/>
      <c r="G561" s="100"/>
      <c r="H561" s="101"/>
      <c r="I561" s="100"/>
      <c r="J561" s="100"/>
      <c r="K561" s="100"/>
      <c r="L561" s="100"/>
      <c r="M561" s="101"/>
      <c r="N561" s="100"/>
      <c r="O561" s="100"/>
      <c r="P561" s="100"/>
      <c r="Q561" s="100"/>
      <c r="R561" s="100"/>
      <c r="S561" s="100"/>
      <c r="T561" s="100"/>
      <c r="U561" s="100"/>
      <c r="V561" s="100"/>
      <c r="W561" s="100"/>
      <c r="X561" s="100"/>
      <c r="Y561" s="100"/>
    </row>
    <row r="562" spans="3:25" x14ac:dyDescent="0.2">
      <c r="C562" s="100"/>
      <c r="D562" s="100"/>
      <c r="E562" s="100"/>
      <c r="F562" s="100"/>
      <c r="G562" s="100"/>
      <c r="H562" s="101"/>
      <c r="I562" s="100"/>
      <c r="J562" s="100"/>
      <c r="K562" s="100"/>
      <c r="L562" s="100"/>
      <c r="M562" s="101"/>
      <c r="N562" s="100"/>
      <c r="O562" s="100"/>
      <c r="P562" s="100"/>
      <c r="Q562" s="100"/>
      <c r="R562" s="100"/>
      <c r="S562" s="100"/>
      <c r="T562" s="100"/>
      <c r="U562" s="100"/>
      <c r="V562" s="100"/>
      <c r="W562" s="100"/>
      <c r="X562" s="100"/>
      <c r="Y562" s="100"/>
    </row>
    <row r="563" spans="3:25" x14ac:dyDescent="0.2">
      <c r="C563" s="100"/>
      <c r="D563" s="100"/>
      <c r="E563" s="100"/>
      <c r="F563" s="100"/>
      <c r="G563" s="100"/>
      <c r="H563" s="101"/>
      <c r="I563" s="100"/>
      <c r="J563" s="100"/>
      <c r="K563" s="100"/>
      <c r="L563" s="100"/>
      <c r="M563" s="101"/>
      <c r="N563" s="100"/>
      <c r="O563" s="100"/>
      <c r="P563" s="100"/>
      <c r="Q563" s="100"/>
      <c r="R563" s="100"/>
      <c r="S563" s="100"/>
      <c r="T563" s="100"/>
      <c r="U563" s="100"/>
      <c r="V563" s="100"/>
      <c r="W563" s="100"/>
      <c r="X563" s="100"/>
      <c r="Y563" s="100"/>
    </row>
    <row r="564" spans="3:25" x14ac:dyDescent="0.2">
      <c r="C564" s="100"/>
      <c r="D564" s="100"/>
      <c r="E564" s="100"/>
      <c r="F564" s="100"/>
      <c r="G564" s="100"/>
      <c r="H564" s="101"/>
      <c r="I564" s="100"/>
      <c r="J564" s="100"/>
      <c r="K564" s="100"/>
      <c r="L564" s="100"/>
      <c r="M564" s="101"/>
      <c r="N564" s="100"/>
      <c r="O564" s="100"/>
      <c r="P564" s="100"/>
      <c r="Q564" s="100"/>
      <c r="R564" s="100"/>
      <c r="S564" s="100"/>
      <c r="T564" s="100"/>
      <c r="U564" s="100"/>
      <c r="V564" s="100"/>
      <c r="W564" s="100"/>
      <c r="X564" s="100"/>
      <c r="Y564" s="100"/>
    </row>
    <row r="565" spans="3:25" x14ac:dyDescent="0.2">
      <c r="C565" s="100"/>
      <c r="D565" s="100"/>
      <c r="E565" s="100"/>
      <c r="F565" s="100"/>
      <c r="G565" s="100"/>
      <c r="H565" s="101"/>
      <c r="I565" s="100"/>
      <c r="J565" s="100"/>
      <c r="K565" s="100"/>
      <c r="L565" s="100"/>
      <c r="M565" s="101"/>
      <c r="N565" s="100"/>
      <c r="O565" s="100"/>
      <c r="P565" s="100"/>
      <c r="Q565" s="100"/>
      <c r="R565" s="100"/>
      <c r="S565" s="100"/>
      <c r="T565" s="100"/>
      <c r="U565" s="100"/>
      <c r="V565" s="100"/>
      <c r="W565" s="100"/>
      <c r="X565" s="100"/>
      <c r="Y565" s="100"/>
    </row>
    <row r="566" spans="3:25" x14ac:dyDescent="0.2">
      <c r="C566" s="100"/>
      <c r="D566" s="100"/>
      <c r="E566" s="100"/>
      <c r="F566" s="100"/>
      <c r="G566" s="100"/>
      <c r="H566" s="101"/>
      <c r="I566" s="100"/>
      <c r="J566" s="100"/>
      <c r="K566" s="100"/>
      <c r="L566" s="100"/>
      <c r="M566" s="101"/>
      <c r="N566" s="100"/>
      <c r="O566" s="100"/>
      <c r="P566" s="100"/>
      <c r="Q566" s="100"/>
      <c r="R566" s="100"/>
      <c r="S566" s="100"/>
      <c r="T566" s="100"/>
      <c r="U566" s="100"/>
      <c r="V566" s="100"/>
      <c r="W566" s="100"/>
      <c r="X566" s="100"/>
      <c r="Y566" s="100"/>
    </row>
    <row r="567" spans="3:25" x14ac:dyDescent="0.2">
      <c r="C567" s="100"/>
      <c r="D567" s="100"/>
      <c r="E567" s="100"/>
      <c r="F567" s="100"/>
      <c r="G567" s="100"/>
      <c r="H567" s="101"/>
      <c r="I567" s="100"/>
      <c r="J567" s="100"/>
      <c r="K567" s="100"/>
      <c r="L567" s="100"/>
      <c r="M567" s="101"/>
      <c r="N567" s="100"/>
      <c r="O567" s="100"/>
      <c r="P567" s="100"/>
      <c r="Q567" s="100"/>
      <c r="R567" s="100"/>
      <c r="S567" s="100"/>
      <c r="T567" s="100"/>
      <c r="U567" s="100"/>
      <c r="V567" s="100"/>
      <c r="W567" s="100"/>
      <c r="X567" s="100"/>
      <c r="Y567" s="100"/>
    </row>
    <row r="568" spans="3:25" x14ac:dyDescent="0.2">
      <c r="C568" s="100"/>
      <c r="D568" s="100"/>
      <c r="E568" s="100"/>
      <c r="F568" s="100"/>
      <c r="G568" s="100"/>
      <c r="H568" s="101"/>
      <c r="I568" s="100"/>
      <c r="J568" s="100"/>
      <c r="K568" s="100"/>
      <c r="L568" s="100"/>
      <c r="M568" s="101"/>
      <c r="N568" s="100"/>
      <c r="O568" s="100"/>
      <c r="P568" s="100"/>
      <c r="Q568" s="100"/>
      <c r="R568" s="100"/>
      <c r="S568" s="100"/>
      <c r="T568" s="100"/>
      <c r="U568" s="100"/>
      <c r="V568" s="100"/>
      <c r="W568" s="100"/>
      <c r="X568" s="100"/>
      <c r="Y568" s="100"/>
    </row>
    <row r="569" spans="3:25" x14ac:dyDescent="0.2">
      <c r="C569" s="100"/>
      <c r="D569" s="100"/>
      <c r="E569" s="100"/>
      <c r="F569" s="100"/>
      <c r="G569" s="100"/>
      <c r="H569" s="101"/>
      <c r="I569" s="100"/>
      <c r="J569" s="100"/>
      <c r="K569" s="100"/>
      <c r="L569" s="100"/>
      <c r="M569" s="101"/>
      <c r="N569" s="100"/>
      <c r="O569" s="100"/>
      <c r="P569" s="100"/>
      <c r="Q569" s="100"/>
      <c r="R569" s="100"/>
      <c r="S569" s="100"/>
      <c r="T569" s="100"/>
      <c r="U569" s="100"/>
      <c r="V569" s="100"/>
      <c r="W569" s="100"/>
      <c r="X569" s="100"/>
      <c r="Y569" s="100"/>
    </row>
    <row r="570" spans="3:25" x14ac:dyDescent="0.2">
      <c r="C570" s="100"/>
      <c r="D570" s="100"/>
      <c r="E570" s="100"/>
      <c r="F570" s="100"/>
      <c r="G570" s="100"/>
      <c r="H570" s="101"/>
      <c r="I570" s="100"/>
      <c r="J570" s="100"/>
      <c r="K570" s="100"/>
      <c r="L570" s="100"/>
      <c r="M570" s="101"/>
      <c r="N570" s="100"/>
      <c r="O570" s="100"/>
      <c r="P570" s="100"/>
      <c r="Q570" s="100"/>
      <c r="R570" s="100"/>
      <c r="S570" s="100"/>
      <c r="T570" s="100"/>
      <c r="U570" s="100"/>
      <c r="V570" s="100"/>
      <c r="W570" s="100"/>
      <c r="X570" s="100"/>
      <c r="Y570" s="100"/>
    </row>
    <row r="571" spans="3:25" x14ac:dyDescent="0.2">
      <c r="C571" s="100"/>
      <c r="D571" s="100"/>
      <c r="E571" s="100"/>
      <c r="F571" s="100"/>
      <c r="G571" s="100"/>
      <c r="H571" s="101"/>
      <c r="I571" s="100"/>
      <c r="J571" s="100"/>
      <c r="K571" s="100"/>
      <c r="L571" s="100"/>
      <c r="M571" s="101"/>
      <c r="N571" s="100"/>
      <c r="O571" s="100"/>
      <c r="P571" s="100"/>
      <c r="Q571" s="100"/>
      <c r="R571" s="100"/>
      <c r="S571" s="100"/>
      <c r="T571" s="100"/>
      <c r="U571" s="100"/>
      <c r="V571" s="100"/>
      <c r="W571" s="100"/>
      <c r="X571" s="100"/>
      <c r="Y571" s="100"/>
    </row>
    <row r="572" spans="3:25" x14ac:dyDescent="0.2">
      <c r="C572" s="100"/>
      <c r="D572" s="100"/>
      <c r="E572" s="100"/>
      <c r="F572" s="100"/>
      <c r="G572" s="100"/>
      <c r="H572" s="101"/>
      <c r="I572" s="100"/>
      <c r="J572" s="100"/>
      <c r="K572" s="100"/>
      <c r="L572" s="100"/>
      <c r="M572" s="101"/>
      <c r="N572" s="100"/>
      <c r="O572" s="100"/>
      <c r="P572" s="100"/>
      <c r="Q572" s="100"/>
      <c r="R572" s="100"/>
      <c r="S572" s="100"/>
      <c r="T572" s="100"/>
      <c r="U572" s="100"/>
      <c r="V572" s="100"/>
      <c r="W572" s="100"/>
      <c r="X572" s="100"/>
      <c r="Y572" s="100"/>
    </row>
    <row r="573" spans="3:25" x14ac:dyDescent="0.2">
      <c r="C573" s="100"/>
      <c r="D573" s="100"/>
      <c r="E573" s="100"/>
      <c r="F573" s="100"/>
      <c r="G573" s="100"/>
      <c r="H573" s="101"/>
      <c r="I573" s="100"/>
      <c r="J573" s="100"/>
      <c r="K573" s="100"/>
      <c r="L573" s="100"/>
      <c r="M573" s="101"/>
      <c r="N573" s="100"/>
      <c r="O573" s="100"/>
      <c r="P573" s="100"/>
      <c r="Q573" s="100"/>
      <c r="R573" s="100"/>
      <c r="S573" s="100"/>
      <c r="T573" s="100"/>
      <c r="U573" s="100"/>
      <c r="V573" s="100"/>
      <c r="W573" s="100"/>
      <c r="X573" s="100"/>
      <c r="Y573" s="100"/>
    </row>
    <row r="574" spans="3:25" x14ac:dyDescent="0.2">
      <c r="C574" s="100"/>
      <c r="D574" s="100"/>
      <c r="E574" s="100"/>
      <c r="F574" s="100"/>
      <c r="G574" s="100"/>
      <c r="H574" s="101"/>
      <c r="I574" s="100"/>
      <c r="J574" s="100"/>
      <c r="K574" s="100"/>
      <c r="L574" s="100"/>
      <c r="M574" s="101"/>
      <c r="N574" s="100"/>
      <c r="O574" s="100"/>
      <c r="P574" s="100"/>
      <c r="Q574" s="100"/>
      <c r="R574" s="100"/>
      <c r="S574" s="100"/>
      <c r="T574" s="100"/>
      <c r="U574" s="100"/>
      <c r="V574" s="100"/>
      <c r="W574" s="100"/>
      <c r="X574" s="100"/>
      <c r="Y574" s="100"/>
    </row>
    <row r="575" spans="3:25" x14ac:dyDescent="0.2">
      <c r="C575" s="100"/>
      <c r="D575" s="100"/>
      <c r="E575" s="100"/>
      <c r="F575" s="100"/>
      <c r="G575" s="100"/>
      <c r="H575" s="101"/>
      <c r="I575" s="100"/>
      <c r="J575" s="100"/>
      <c r="K575" s="100"/>
      <c r="L575" s="100"/>
      <c r="M575" s="101"/>
      <c r="N575" s="100"/>
      <c r="O575" s="100"/>
      <c r="P575" s="100"/>
      <c r="Q575" s="100"/>
      <c r="R575" s="100"/>
      <c r="S575" s="100"/>
      <c r="T575" s="100"/>
      <c r="U575" s="100"/>
      <c r="V575" s="100"/>
      <c r="W575" s="100"/>
      <c r="X575" s="100"/>
      <c r="Y575" s="100"/>
    </row>
    <row r="576" spans="3:25" x14ac:dyDescent="0.2">
      <c r="C576" s="100"/>
      <c r="D576" s="100"/>
      <c r="E576" s="100"/>
      <c r="F576" s="100"/>
      <c r="G576" s="100"/>
      <c r="H576" s="101"/>
      <c r="I576" s="100"/>
      <c r="J576" s="100"/>
      <c r="K576" s="100"/>
      <c r="L576" s="100"/>
      <c r="M576" s="101"/>
      <c r="N576" s="100"/>
      <c r="O576" s="100"/>
      <c r="P576" s="100"/>
      <c r="Q576" s="100"/>
      <c r="R576" s="100"/>
      <c r="S576" s="100"/>
      <c r="T576" s="100"/>
      <c r="U576" s="100"/>
      <c r="V576" s="100"/>
      <c r="W576" s="100"/>
      <c r="X576" s="100"/>
      <c r="Y576" s="100"/>
    </row>
    <row r="577" spans="3:25" x14ac:dyDescent="0.2">
      <c r="C577" s="100"/>
      <c r="D577" s="100"/>
      <c r="E577" s="100"/>
      <c r="F577" s="100"/>
      <c r="G577" s="100"/>
      <c r="H577" s="101"/>
      <c r="I577" s="100"/>
      <c r="J577" s="100"/>
      <c r="K577" s="100"/>
      <c r="L577" s="100"/>
      <c r="M577" s="101"/>
      <c r="N577" s="100"/>
      <c r="O577" s="100"/>
      <c r="P577" s="100"/>
      <c r="Q577" s="100"/>
      <c r="R577" s="100"/>
      <c r="S577" s="100"/>
      <c r="T577" s="100"/>
      <c r="U577" s="100"/>
      <c r="V577" s="100"/>
      <c r="W577" s="100"/>
      <c r="X577" s="100"/>
      <c r="Y577" s="100"/>
    </row>
    <row r="578" spans="3:25" x14ac:dyDescent="0.2">
      <c r="C578" s="100"/>
      <c r="D578" s="100"/>
      <c r="E578" s="100"/>
      <c r="F578" s="100"/>
      <c r="G578" s="100"/>
      <c r="H578" s="101"/>
      <c r="I578" s="100"/>
      <c r="J578" s="100"/>
      <c r="K578" s="100"/>
      <c r="L578" s="100"/>
      <c r="M578" s="101"/>
      <c r="N578" s="100"/>
      <c r="O578" s="100"/>
      <c r="P578" s="100"/>
      <c r="Q578" s="100"/>
      <c r="R578" s="100"/>
      <c r="S578" s="100"/>
      <c r="T578" s="100"/>
      <c r="U578" s="100"/>
      <c r="V578" s="100"/>
      <c r="W578" s="100"/>
      <c r="X578" s="100"/>
      <c r="Y578" s="100"/>
    </row>
    <row r="579" spans="3:25" x14ac:dyDescent="0.2">
      <c r="C579" s="100"/>
      <c r="D579" s="100"/>
      <c r="E579" s="100"/>
      <c r="F579" s="100"/>
      <c r="G579" s="100"/>
      <c r="H579" s="101"/>
      <c r="I579" s="100"/>
      <c r="J579" s="100"/>
      <c r="K579" s="100"/>
      <c r="L579" s="100"/>
      <c r="M579" s="101"/>
      <c r="N579" s="100"/>
      <c r="O579" s="100"/>
      <c r="P579" s="100"/>
      <c r="Q579" s="100"/>
      <c r="R579" s="100"/>
      <c r="S579" s="100"/>
      <c r="T579" s="100"/>
      <c r="U579" s="100"/>
      <c r="V579" s="100"/>
      <c r="W579" s="100"/>
      <c r="X579" s="100"/>
      <c r="Y579" s="100"/>
    </row>
    <row r="580" spans="3:25" x14ac:dyDescent="0.2">
      <c r="C580" s="100"/>
      <c r="D580" s="100"/>
      <c r="E580" s="100"/>
      <c r="F580" s="100"/>
      <c r="G580" s="100"/>
      <c r="H580" s="101"/>
      <c r="I580" s="100"/>
      <c r="J580" s="100"/>
      <c r="K580" s="100"/>
      <c r="L580" s="100"/>
      <c r="M580" s="101"/>
      <c r="N580" s="100"/>
      <c r="O580" s="100"/>
      <c r="P580" s="100"/>
      <c r="Q580" s="100"/>
      <c r="R580" s="100"/>
      <c r="S580" s="100"/>
      <c r="T580" s="100"/>
      <c r="U580" s="100"/>
      <c r="V580" s="100"/>
      <c r="W580" s="100"/>
      <c r="X580" s="100"/>
      <c r="Y580" s="100"/>
    </row>
    <row r="581" spans="3:25" x14ac:dyDescent="0.2">
      <c r="C581" s="100"/>
      <c r="D581" s="100"/>
      <c r="E581" s="100"/>
      <c r="F581" s="100"/>
      <c r="G581" s="100"/>
      <c r="H581" s="101"/>
      <c r="I581" s="100"/>
      <c r="J581" s="100"/>
      <c r="K581" s="100"/>
      <c r="L581" s="100"/>
      <c r="M581" s="101"/>
      <c r="N581" s="100"/>
      <c r="O581" s="100"/>
      <c r="P581" s="100"/>
      <c r="Q581" s="100"/>
      <c r="R581" s="100"/>
      <c r="S581" s="100"/>
      <c r="T581" s="100"/>
      <c r="U581" s="100"/>
      <c r="V581" s="100"/>
      <c r="W581" s="100"/>
      <c r="X581" s="100"/>
      <c r="Y581" s="100"/>
    </row>
    <row r="582" spans="3:25" x14ac:dyDescent="0.2">
      <c r="C582" s="100"/>
      <c r="D582" s="100"/>
      <c r="E582" s="100"/>
      <c r="F582" s="100"/>
      <c r="G582" s="100"/>
      <c r="H582" s="101"/>
      <c r="I582" s="100"/>
      <c r="J582" s="100"/>
      <c r="K582" s="100"/>
      <c r="L582" s="100"/>
      <c r="M582" s="101"/>
      <c r="N582" s="100"/>
      <c r="O582" s="100"/>
      <c r="P582" s="100"/>
      <c r="Q582" s="100"/>
      <c r="R582" s="100"/>
      <c r="S582" s="100"/>
      <c r="T582" s="100"/>
      <c r="U582" s="100"/>
      <c r="V582" s="100"/>
      <c r="W582" s="100"/>
      <c r="X582" s="100"/>
      <c r="Y582" s="100"/>
    </row>
    <row r="583" spans="3:25" x14ac:dyDescent="0.2">
      <c r="C583" s="100"/>
      <c r="D583" s="100"/>
      <c r="E583" s="100"/>
      <c r="F583" s="100"/>
      <c r="G583" s="100"/>
      <c r="H583" s="101"/>
      <c r="I583" s="100"/>
      <c r="J583" s="100"/>
      <c r="K583" s="100"/>
      <c r="L583" s="100"/>
      <c r="M583" s="101"/>
      <c r="N583" s="100"/>
      <c r="O583" s="100"/>
      <c r="P583" s="100"/>
      <c r="Q583" s="100"/>
      <c r="R583" s="100"/>
      <c r="S583" s="100"/>
      <c r="T583" s="100"/>
      <c r="U583" s="100"/>
      <c r="V583" s="100"/>
      <c r="W583" s="100"/>
      <c r="X583" s="100"/>
      <c r="Y583" s="100"/>
    </row>
    <row r="584" spans="3:25" x14ac:dyDescent="0.2">
      <c r="C584" s="100"/>
      <c r="D584" s="100"/>
      <c r="E584" s="100"/>
      <c r="F584" s="100"/>
      <c r="G584" s="100"/>
      <c r="H584" s="101"/>
      <c r="I584" s="100"/>
      <c r="J584" s="100"/>
      <c r="K584" s="100"/>
      <c r="L584" s="100"/>
      <c r="M584" s="101"/>
      <c r="N584" s="100"/>
      <c r="O584" s="100"/>
      <c r="P584" s="100"/>
      <c r="Q584" s="100"/>
      <c r="R584" s="100"/>
      <c r="S584" s="100"/>
      <c r="T584" s="100"/>
      <c r="U584" s="100"/>
      <c r="V584" s="100"/>
      <c r="W584" s="100"/>
      <c r="X584" s="100"/>
      <c r="Y584" s="100"/>
    </row>
    <row r="585" spans="3:25" x14ac:dyDescent="0.2">
      <c r="C585" s="100"/>
      <c r="D585" s="100"/>
      <c r="E585" s="100"/>
      <c r="F585" s="100"/>
      <c r="G585" s="100"/>
      <c r="H585" s="101"/>
      <c r="I585" s="100"/>
      <c r="J585" s="100"/>
      <c r="K585" s="100"/>
      <c r="L585" s="100"/>
      <c r="M585" s="101"/>
      <c r="N585" s="100"/>
      <c r="O585" s="100"/>
      <c r="P585" s="100"/>
      <c r="Q585" s="100"/>
      <c r="R585" s="100"/>
      <c r="S585" s="100"/>
      <c r="T585" s="100"/>
      <c r="U585" s="100"/>
      <c r="V585" s="100"/>
      <c r="W585" s="100"/>
      <c r="X585" s="100"/>
      <c r="Y585" s="100"/>
    </row>
    <row r="586" spans="3:25" x14ac:dyDescent="0.2">
      <c r="C586" s="100"/>
      <c r="D586" s="100"/>
      <c r="E586" s="100"/>
      <c r="F586" s="100"/>
      <c r="G586" s="100"/>
      <c r="H586" s="101"/>
      <c r="I586" s="100"/>
      <c r="J586" s="100"/>
      <c r="K586" s="100"/>
      <c r="L586" s="100"/>
      <c r="M586" s="101"/>
      <c r="N586" s="100"/>
      <c r="O586" s="100"/>
      <c r="P586" s="100"/>
      <c r="Q586" s="100"/>
      <c r="R586" s="100"/>
      <c r="S586" s="100"/>
      <c r="T586" s="100"/>
      <c r="U586" s="100"/>
      <c r="V586" s="100"/>
      <c r="W586" s="100"/>
      <c r="X586" s="100"/>
      <c r="Y586" s="100"/>
    </row>
    <row r="587" spans="3:25" x14ac:dyDescent="0.2">
      <c r="C587" s="100"/>
      <c r="D587" s="100"/>
      <c r="E587" s="100"/>
      <c r="F587" s="100"/>
      <c r="G587" s="100"/>
      <c r="H587" s="101"/>
      <c r="I587" s="100"/>
      <c r="J587" s="100"/>
      <c r="K587" s="100"/>
      <c r="L587" s="100"/>
      <c r="M587" s="101"/>
      <c r="N587" s="100"/>
      <c r="O587" s="100"/>
      <c r="P587" s="100"/>
      <c r="Q587" s="100"/>
      <c r="R587" s="100"/>
      <c r="S587" s="100"/>
      <c r="T587" s="100"/>
      <c r="U587" s="100"/>
      <c r="V587" s="100"/>
      <c r="W587" s="100"/>
      <c r="X587" s="100"/>
      <c r="Y587" s="100"/>
    </row>
    <row r="588" spans="3:25" x14ac:dyDescent="0.2">
      <c r="C588" s="100"/>
      <c r="D588" s="100"/>
      <c r="E588" s="100"/>
      <c r="F588" s="100"/>
      <c r="G588" s="100"/>
      <c r="H588" s="101"/>
      <c r="I588" s="100"/>
      <c r="J588" s="100"/>
      <c r="K588" s="100"/>
      <c r="L588" s="100"/>
      <c r="M588" s="101"/>
      <c r="N588" s="100"/>
      <c r="O588" s="100"/>
      <c r="P588" s="100"/>
      <c r="Q588" s="100"/>
      <c r="R588" s="100"/>
      <c r="S588" s="100"/>
      <c r="T588" s="100"/>
      <c r="U588" s="100"/>
      <c r="V588" s="100"/>
      <c r="W588" s="100"/>
      <c r="X588" s="100"/>
      <c r="Y588" s="100"/>
    </row>
    <row r="589" spans="3:25" x14ac:dyDescent="0.2">
      <c r="C589" s="100"/>
      <c r="D589" s="100"/>
      <c r="E589" s="100"/>
      <c r="F589" s="100"/>
      <c r="G589" s="100"/>
      <c r="H589" s="101"/>
      <c r="I589" s="100"/>
      <c r="J589" s="100"/>
      <c r="K589" s="100"/>
      <c r="L589" s="100"/>
      <c r="M589" s="101"/>
      <c r="N589" s="100"/>
      <c r="O589" s="100"/>
      <c r="P589" s="100"/>
      <c r="Q589" s="100"/>
      <c r="R589" s="100"/>
      <c r="S589" s="100"/>
      <c r="T589" s="100"/>
      <c r="U589" s="100"/>
      <c r="V589" s="100"/>
      <c r="W589" s="100"/>
      <c r="X589" s="100"/>
      <c r="Y589" s="100"/>
    </row>
    <row r="590" spans="3:25" x14ac:dyDescent="0.2">
      <c r="C590" s="100"/>
      <c r="D590" s="100"/>
      <c r="E590" s="100"/>
      <c r="F590" s="100"/>
      <c r="G590" s="100"/>
      <c r="H590" s="101"/>
      <c r="I590" s="100"/>
      <c r="J590" s="100"/>
      <c r="K590" s="100"/>
      <c r="L590" s="100"/>
      <c r="M590" s="101"/>
      <c r="N590" s="100"/>
      <c r="O590" s="100"/>
      <c r="P590" s="100"/>
      <c r="Q590" s="100"/>
      <c r="R590" s="100"/>
      <c r="S590" s="100"/>
      <c r="T590" s="100"/>
      <c r="U590" s="100"/>
      <c r="V590" s="100"/>
      <c r="W590" s="100"/>
      <c r="X590" s="100"/>
      <c r="Y590" s="100"/>
    </row>
    <row r="591" spans="3:25" x14ac:dyDescent="0.2">
      <c r="C591" s="100"/>
      <c r="D591" s="100"/>
      <c r="E591" s="100"/>
      <c r="F591" s="100"/>
      <c r="G591" s="100"/>
      <c r="H591" s="101"/>
      <c r="I591" s="100"/>
      <c r="J591" s="100"/>
      <c r="K591" s="100"/>
      <c r="L591" s="100"/>
      <c r="M591" s="101"/>
      <c r="N591" s="100"/>
      <c r="O591" s="100"/>
      <c r="P591" s="100"/>
      <c r="Q591" s="100"/>
      <c r="R591" s="100"/>
      <c r="S591" s="100"/>
      <c r="T591" s="100"/>
      <c r="U591" s="100"/>
      <c r="V591" s="100"/>
      <c r="W591" s="100"/>
      <c r="X591" s="100"/>
      <c r="Y591" s="100"/>
    </row>
    <row r="592" spans="3:25" x14ac:dyDescent="0.2">
      <c r="C592" s="100"/>
      <c r="D592" s="100"/>
      <c r="E592" s="100"/>
      <c r="F592" s="100"/>
      <c r="G592" s="100"/>
      <c r="H592" s="101"/>
      <c r="I592" s="100"/>
      <c r="J592" s="100"/>
      <c r="K592" s="100"/>
      <c r="L592" s="100"/>
      <c r="M592" s="101"/>
      <c r="N592" s="100"/>
      <c r="O592" s="100"/>
      <c r="P592" s="100"/>
      <c r="Q592" s="100"/>
      <c r="R592" s="100"/>
      <c r="S592" s="100"/>
      <c r="T592" s="100"/>
      <c r="U592" s="100"/>
      <c r="V592" s="100"/>
      <c r="W592" s="100"/>
      <c r="X592" s="100"/>
      <c r="Y592" s="100"/>
    </row>
    <row r="593" spans="3:25" x14ac:dyDescent="0.2">
      <c r="C593" s="100"/>
      <c r="D593" s="100"/>
      <c r="E593" s="100"/>
      <c r="F593" s="100"/>
      <c r="G593" s="100"/>
      <c r="H593" s="101"/>
      <c r="I593" s="100"/>
      <c r="J593" s="100"/>
      <c r="K593" s="100"/>
      <c r="L593" s="100"/>
      <c r="M593" s="101"/>
      <c r="N593" s="100"/>
      <c r="O593" s="100"/>
      <c r="P593" s="100"/>
      <c r="Q593" s="100"/>
      <c r="R593" s="100"/>
      <c r="S593" s="100"/>
      <c r="T593" s="100"/>
      <c r="U593" s="100"/>
      <c r="V593" s="100"/>
      <c r="W593" s="100"/>
      <c r="X593" s="100"/>
      <c r="Y593" s="100"/>
    </row>
    <row r="594" spans="3:25" x14ac:dyDescent="0.2">
      <c r="C594" s="100"/>
      <c r="D594" s="100"/>
      <c r="E594" s="100"/>
      <c r="F594" s="100"/>
      <c r="G594" s="100"/>
      <c r="H594" s="101"/>
      <c r="I594" s="100"/>
      <c r="J594" s="100"/>
      <c r="K594" s="100"/>
      <c r="L594" s="100"/>
      <c r="M594" s="101"/>
      <c r="N594" s="100"/>
      <c r="O594" s="100"/>
      <c r="P594" s="100"/>
      <c r="Q594" s="100"/>
      <c r="R594" s="100"/>
      <c r="S594" s="100"/>
      <c r="T594" s="100"/>
      <c r="U594" s="100"/>
      <c r="V594" s="100"/>
      <c r="W594" s="100"/>
      <c r="X594" s="100"/>
      <c r="Y594" s="100"/>
    </row>
    <row r="595" spans="3:25" x14ac:dyDescent="0.2">
      <c r="C595" s="100"/>
      <c r="D595" s="100"/>
      <c r="E595" s="100"/>
      <c r="F595" s="100"/>
      <c r="G595" s="100"/>
      <c r="H595" s="101"/>
      <c r="I595" s="100"/>
      <c r="J595" s="100"/>
      <c r="K595" s="100"/>
      <c r="L595" s="100"/>
      <c r="M595" s="101"/>
      <c r="N595" s="100"/>
      <c r="O595" s="100"/>
      <c r="P595" s="100"/>
      <c r="Q595" s="100"/>
      <c r="R595" s="100"/>
      <c r="S595" s="100"/>
      <c r="T595" s="100"/>
      <c r="U595" s="100"/>
      <c r="V595" s="100"/>
      <c r="W595" s="100"/>
      <c r="X595" s="100"/>
      <c r="Y595" s="100"/>
    </row>
    <row r="596" spans="3:25" x14ac:dyDescent="0.2">
      <c r="C596" s="100"/>
      <c r="D596" s="100"/>
      <c r="E596" s="100"/>
      <c r="F596" s="100"/>
      <c r="G596" s="100"/>
      <c r="H596" s="101"/>
      <c r="I596" s="100"/>
      <c r="J596" s="100"/>
      <c r="K596" s="100"/>
      <c r="L596" s="100"/>
      <c r="M596" s="101"/>
      <c r="N596" s="100"/>
      <c r="O596" s="100"/>
      <c r="P596" s="100"/>
      <c r="Q596" s="100"/>
      <c r="R596" s="100"/>
      <c r="S596" s="100"/>
      <c r="T596" s="100"/>
      <c r="U596" s="100"/>
      <c r="V596" s="100"/>
      <c r="W596" s="100"/>
      <c r="X596" s="100"/>
      <c r="Y596" s="100"/>
    </row>
    <row r="597" spans="3:25" x14ac:dyDescent="0.2">
      <c r="C597" s="100"/>
      <c r="D597" s="100"/>
      <c r="E597" s="100"/>
      <c r="F597" s="100"/>
      <c r="G597" s="100"/>
      <c r="H597" s="101"/>
      <c r="I597" s="100"/>
      <c r="J597" s="100"/>
      <c r="K597" s="100"/>
      <c r="L597" s="100"/>
      <c r="M597" s="101"/>
      <c r="N597" s="100"/>
      <c r="O597" s="100"/>
      <c r="P597" s="100"/>
      <c r="Q597" s="100"/>
      <c r="R597" s="100"/>
      <c r="S597" s="100"/>
      <c r="T597" s="100"/>
      <c r="U597" s="100"/>
      <c r="V597" s="100"/>
      <c r="W597" s="100"/>
      <c r="X597" s="100"/>
      <c r="Y597" s="100"/>
    </row>
    <row r="598" spans="3:25" x14ac:dyDescent="0.2">
      <c r="C598" s="100"/>
      <c r="D598" s="100"/>
      <c r="E598" s="100"/>
      <c r="F598" s="100"/>
      <c r="G598" s="100"/>
      <c r="H598" s="101"/>
      <c r="I598" s="100"/>
      <c r="J598" s="100"/>
      <c r="K598" s="100"/>
      <c r="L598" s="100"/>
      <c r="M598" s="101"/>
      <c r="N598" s="100"/>
      <c r="O598" s="100"/>
      <c r="P598" s="100"/>
      <c r="Q598" s="100"/>
      <c r="R598" s="100"/>
      <c r="S598" s="100"/>
      <c r="T598" s="100"/>
      <c r="U598" s="100"/>
      <c r="V598" s="100"/>
      <c r="W598" s="100"/>
      <c r="X598" s="100"/>
      <c r="Y598" s="100"/>
    </row>
    <row r="599" spans="3:25" x14ac:dyDescent="0.2">
      <c r="C599" s="100"/>
      <c r="D599" s="100"/>
      <c r="E599" s="100"/>
      <c r="F599" s="100"/>
      <c r="G599" s="100"/>
      <c r="H599" s="101"/>
      <c r="I599" s="100"/>
      <c r="J599" s="100"/>
      <c r="K599" s="100"/>
      <c r="L599" s="100"/>
      <c r="M599" s="101"/>
      <c r="N599" s="100"/>
      <c r="O599" s="100"/>
      <c r="P599" s="100"/>
      <c r="Q599" s="100"/>
      <c r="R599" s="100"/>
      <c r="S599" s="100"/>
      <c r="T599" s="100"/>
      <c r="U599" s="100"/>
      <c r="V599" s="100"/>
      <c r="W599" s="100"/>
      <c r="X599" s="100"/>
      <c r="Y599" s="100"/>
    </row>
    <row r="600" spans="3:25" x14ac:dyDescent="0.2">
      <c r="C600" s="100"/>
      <c r="D600" s="100"/>
      <c r="E600" s="100"/>
      <c r="F600" s="100"/>
      <c r="G600" s="100"/>
      <c r="H600" s="101"/>
      <c r="I600" s="100"/>
      <c r="J600" s="100"/>
      <c r="K600" s="100"/>
      <c r="L600" s="100"/>
      <c r="M600" s="101"/>
      <c r="N600" s="100"/>
      <c r="O600" s="100"/>
      <c r="P600" s="100"/>
      <c r="Q600" s="100"/>
      <c r="R600" s="100"/>
      <c r="S600" s="100"/>
      <c r="T600" s="100"/>
      <c r="U600" s="100"/>
      <c r="V600" s="100"/>
      <c r="W600" s="100"/>
      <c r="X600" s="100"/>
      <c r="Y600" s="100"/>
    </row>
    <row r="601" spans="3:25" x14ac:dyDescent="0.2">
      <c r="C601" s="100"/>
      <c r="D601" s="100"/>
      <c r="E601" s="100"/>
      <c r="F601" s="100"/>
      <c r="G601" s="100"/>
      <c r="H601" s="101"/>
      <c r="I601" s="100"/>
      <c r="J601" s="100"/>
      <c r="K601" s="100"/>
      <c r="L601" s="100"/>
      <c r="M601" s="101"/>
      <c r="N601" s="100"/>
      <c r="O601" s="100"/>
      <c r="P601" s="100"/>
      <c r="Q601" s="100"/>
      <c r="R601" s="100"/>
      <c r="S601" s="100"/>
      <c r="T601" s="100"/>
      <c r="U601" s="100"/>
      <c r="V601" s="100"/>
      <c r="W601" s="100"/>
      <c r="X601" s="100"/>
      <c r="Y601" s="100"/>
    </row>
    <row r="602" spans="3:25" x14ac:dyDescent="0.2">
      <c r="C602" s="100"/>
      <c r="D602" s="100"/>
      <c r="E602" s="100"/>
      <c r="F602" s="100"/>
      <c r="G602" s="100"/>
      <c r="H602" s="101"/>
      <c r="I602" s="100"/>
      <c r="J602" s="100"/>
      <c r="K602" s="100"/>
      <c r="L602" s="100"/>
      <c r="M602" s="101"/>
      <c r="N602" s="100"/>
      <c r="O602" s="100"/>
      <c r="P602" s="100"/>
      <c r="Q602" s="100"/>
      <c r="R602" s="100"/>
      <c r="S602" s="100"/>
      <c r="T602" s="100"/>
      <c r="U602" s="100"/>
      <c r="V602" s="100"/>
      <c r="W602" s="100"/>
      <c r="X602" s="100"/>
      <c r="Y602" s="100"/>
    </row>
    <row r="603" spans="3:25" x14ac:dyDescent="0.2">
      <c r="C603" s="100"/>
      <c r="D603" s="100"/>
      <c r="E603" s="100"/>
      <c r="F603" s="100"/>
      <c r="G603" s="100"/>
      <c r="H603" s="101"/>
      <c r="I603" s="100"/>
      <c r="J603" s="100"/>
      <c r="K603" s="100"/>
      <c r="L603" s="100"/>
      <c r="M603" s="101"/>
      <c r="N603" s="100"/>
      <c r="O603" s="100"/>
      <c r="P603" s="100"/>
      <c r="Q603" s="100"/>
      <c r="R603" s="100"/>
      <c r="S603" s="100"/>
      <c r="T603" s="100"/>
      <c r="U603" s="100"/>
      <c r="V603" s="100"/>
      <c r="W603" s="100"/>
      <c r="X603" s="100"/>
      <c r="Y603" s="100"/>
    </row>
    <row r="604" spans="3:25" x14ac:dyDescent="0.2">
      <c r="C604" s="100"/>
      <c r="D604" s="100"/>
      <c r="E604" s="100"/>
      <c r="F604" s="100"/>
      <c r="G604" s="100"/>
      <c r="H604" s="101"/>
      <c r="I604" s="100"/>
      <c r="J604" s="100"/>
      <c r="K604" s="100"/>
      <c r="L604" s="100"/>
      <c r="M604" s="101"/>
      <c r="N604" s="100"/>
      <c r="O604" s="100"/>
      <c r="P604" s="100"/>
      <c r="Q604" s="100"/>
      <c r="R604" s="100"/>
      <c r="S604" s="100"/>
      <c r="T604" s="100"/>
      <c r="U604" s="100"/>
      <c r="V604" s="100"/>
      <c r="W604" s="100"/>
      <c r="X604" s="100"/>
      <c r="Y604" s="100"/>
    </row>
    <row r="605" spans="3:25" x14ac:dyDescent="0.2">
      <c r="C605" s="100"/>
      <c r="D605" s="100"/>
      <c r="E605" s="100"/>
      <c r="F605" s="100"/>
      <c r="G605" s="100"/>
      <c r="H605" s="101"/>
      <c r="I605" s="100"/>
      <c r="J605" s="100"/>
      <c r="K605" s="100"/>
      <c r="L605" s="100"/>
      <c r="M605" s="101"/>
      <c r="N605" s="100"/>
      <c r="O605" s="100"/>
      <c r="P605" s="100"/>
      <c r="Q605" s="100"/>
      <c r="R605" s="100"/>
      <c r="S605" s="100"/>
      <c r="T605" s="100"/>
      <c r="U605" s="100"/>
      <c r="V605" s="100"/>
      <c r="W605" s="100"/>
      <c r="X605" s="100"/>
      <c r="Y605" s="100"/>
    </row>
    <row r="606" spans="3:25" x14ac:dyDescent="0.2">
      <c r="C606" s="100"/>
      <c r="D606" s="100"/>
      <c r="E606" s="100"/>
      <c r="F606" s="100"/>
      <c r="G606" s="100"/>
      <c r="H606" s="101"/>
      <c r="I606" s="100"/>
      <c r="J606" s="100"/>
      <c r="K606" s="100"/>
      <c r="L606" s="100"/>
      <c r="M606" s="101"/>
      <c r="N606" s="100"/>
      <c r="O606" s="100"/>
      <c r="P606" s="100"/>
      <c r="Q606" s="100"/>
      <c r="R606" s="100"/>
      <c r="S606" s="100"/>
      <c r="T606" s="100"/>
      <c r="U606" s="100"/>
      <c r="V606" s="100"/>
      <c r="W606" s="100"/>
      <c r="X606" s="100"/>
      <c r="Y606" s="100"/>
    </row>
    <row r="607" spans="3:25" x14ac:dyDescent="0.2">
      <c r="C607" s="100"/>
      <c r="D607" s="100"/>
      <c r="E607" s="100"/>
      <c r="F607" s="100"/>
      <c r="G607" s="100"/>
      <c r="H607" s="101"/>
      <c r="I607" s="100"/>
      <c r="J607" s="100"/>
      <c r="K607" s="100"/>
      <c r="L607" s="100"/>
      <c r="M607" s="101"/>
      <c r="N607" s="100"/>
      <c r="O607" s="100"/>
      <c r="P607" s="100"/>
      <c r="Q607" s="100"/>
      <c r="R607" s="100"/>
      <c r="S607" s="100"/>
      <c r="T607" s="100"/>
      <c r="U607" s="100"/>
      <c r="V607" s="100"/>
      <c r="W607" s="100"/>
      <c r="X607" s="100"/>
      <c r="Y607" s="100"/>
    </row>
    <row r="608" spans="3:25" x14ac:dyDescent="0.2">
      <c r="C608" s="100"/>
      <c r="D608" s="100"/>
      <c r="E608" s="100"/>
      <c r="F608" s="100"/>
      <c r="G608" s="100"/>
      <c r="H608" s="101"/>
      <c r="I608" s="100"/>
      <c r="J608" s="100"/>
      <c r="K608" s="100"/>
      <c r="L608" s="100"/>
      <c r="M608" s="101"/>
      <c r="N608" s="100"/>
      <c r="O608" s="100"/>
      <c r="P608" s="100"/>
      <c r="Q608" s="100"/>
      <c r="R608" s="100"/>
      <c r="S608" s="100"/>
      <c r="T608" s="100"/>
      <c r="U608" s="100"/>
      <c r="V608" s="100"/>
      <c r="W608" s="100"/>
      <c r="X608" s="100"/>
      <c r="Y608" s="100"/>
    </row>
    <row r="609" spans="3:25" x14ac:dyDescent="0.2">
      <c r="C609" s="100"/>
      <c r="D609" s="100"/>
      <c r="E609" s="100"/>
      <c r="F609" s="100"/>
      <c r="G609" s="100"/>
      <c r="H609" s="101"/>
      <c r="I609" s="100"/>
      <c r="J609" s="100"/>
      <c r="K609" s="100"/>
      <c r="L609" s="100"/>
      <c r="M609" s="101"/>
      <c r="N609" s="100"/>
      <c r="O609" s="100"/>
      <c r="P609" s="100"/>
      <c r="Q609" s="100"/>
      <c r="R609" s="100"/>
      <c r="S609" s="100"/>
      <c r="T609" s="100"/>
      <c r="U609" s="100"/>
      <c r="V609" s="100"/>
      <c r="W609" s="100"/>
      <c r="X609" s="100"/>
      <c r="Y609" s="100"/>
    </row>
    <row r="610" spans="3:25" x14ac:dyDescent="0.2">
      <c r="C610" s="100"/>
      <c r="D610" s="100"/>
      <c r="E610" s="100"/>
      <c r="F610" s="100"/>
      <c r="G610" s="100"/>
      <c r="H610" s="101"/>
      <c r="I610" s="100"/>
      <c r="J610" s="100"/>
      <c r="K610" s="100"/>
      <c r="L610" s="100"/>
      <c r="M610" s="101"/>
      <c r="N610" s="100"/>
      <c r="O610" s="100"/>
      <c r="P610" s="100"/>
      <c r="Q610" s="100"/>
      <c r="R610" s="100"/>
      <c r="S610" s="100"/>
      <c r="T610" s="100"/>
      <c r="U610" s="100"/>
      <c r="V610" s="100"/>
      <c r="W610" s="100"/>
      <c r="X610" s="100"/>
      <c r="Y610" s="100"/>
    </row>
  </sheetData>
  <sheetProtection algorithmName="SHA-512" hashValue="WKpuLpaAy5p/2TQJfs9FDQnfZtDdzzhkZD2bYYk5VMPjSqU4GxqN0ZG3ojOHrlWl+SbE/Uv9GcPa1jxaQPxGlw==" saltValue="2lfvuWQxrbHnrCyWWAMxLQ==" spinCount="100000" sheet="1" selectLockedCells="1"/>
  <mergeCells count="21">
    <mergeCell ref="C1:F5"/>
    <mergeCell ref="D54:E54"/>
    <mergeCell ref="H25:J28"/>
    <mergeCell ref="H11:I11"/>
    <mergeCell ref="H19:J22"/>
    <mergeCell ref="B6:S6"/>
    <mergeCell ref="A7:S7"/>
    <mergeCell ref="M29:N29"/>
    <mergeCell ref="O21:S21"/>
    <mergeCell ref="F54:G54"/>
    <mergeCell ref="H54:I54"/>
    <mergeCell ref="Z234:AA234"/>
    <mergeCell ref="C128:S128"/>
    <mergeCell ref="C127:N127"/>
    <mergeCell ref="C130:S130"/>
    <mergeCell ref="C131:S131"/>
    <mergeCell ref="F55:G55"/>
    <mergeCell ref="H63:I63"/>
    <mergeCell ref="G72:I72"/>
    <mergeCell ref="H65:I65"/>
    <mergeCell ref="X234:Y234"/>
  </mergeCells>
  <phoneticPr fontId="2" type="noConversion"/>
  <conditionalFormatting sqref="B72:C72">
    <cfRule type="expression" dxfId="15" priority="22" stopIfTrue="1">
      <formula>$H$63="Überschusseinspeisung"</formula>
    </cfRule>
    <cfRule type="expression" dxfId="14" priority="23" stopIfTrue="1">
      <formula>$H$63="Einspeisetarif"</formula>
    </cfRule>
  </conditionalFormatting>
  <conditionalFormatting sqref="C67">
    <cfRule type="expression" dxfId="13" priority="9">
      <formula>$H$188=$D$215</formula>
    </cfRule>
  </conditionalFormatting>
  <conditionalFormatting sqref="C126:C128">
    <cfRule type="expression" dxfId="12" priority="61" stopIfTrue="1">
      <formula>$G$64="*"</formula>
    </cfRule>
  </conditionalFormatting>
  <conditionalFormatting sqref="C66:J68">
    <cfRule type="expression" dxfId="11" priority="8">
      <formula>$H$65=$Y$194</formula>
    </cfRule>
  </conditionalFormatting>
  <conditionalFormatting sqref="G66:G67 G74:I80">
    <cfRule type="expression" dxfId="10" priority="69" stopIfTrue="1">
      <formula>$H$63="Einspeisetarif"</formula>
    </cfRule>
    <cfRule type="expression" dxfId="9" priority="70" stopIfTrue="1">
      <formula>AND($H$63="Fördertarif",$H$67="Einspeisetarif")</formula>
    </cfRule>
  </conditionalFormatting>
  <conditionalFormatting sqref="G73:H73 D73:F80">
    <cfRule type="expression" dxfId="8" priority="65" stopIfTrue="1">
      <formula>$H$63="Einspeisetarif"</formula>
    </cfRule>
    <cfRule type="expression" dxfId="7" priority="66" stopIfTrue="1">
      <formula>$H$63="Fördertarif"&amp;$H$67="Einspeisetarif"</formula>
    </cfRule>
  </conditionalFormatting>
  <conditionalFormatting sqref="H88">
    <cfRule type="expression" dxfId="6" priority="17" stopIfTrue="1">
      <formula>$H$88&lt;100%</formula>
    </cfRule>
  </conditionalFormatting>
  <conditionalFormatting sqref="H89">
    <cfRule type="expression" dxfId="5" priority="21" stopIfTrue="1">
      <formula>$H$88=100%</formula>
    </cfRule>
  </conditionalFormatting>
  <conditionalFormatting sqref="H121:I122">
    <cfRule type="cellIs" dxfId="4" priority="34" stopIfTrue="1" operator="lessThan">
      <formula>0</formula>
    </cfRule>
    <cfRule type="cellIs" dxfId="3" priority="35" stopIfTrue="1" operator="greaterThan">
      <formula>0</formula>
    </cfRule>
  </conditionalFormatting>
  <conditionalFormatting sqref="I88">
    <cfRule type="expression" dxfId="2" priority="20" stopIfTrue="1">
      <formula>$H$88=100%</formula>
    </cfRule>
  </conditionalFormatting>
  <conditionalFormatting sqref="I89">
    <cfRule type="expression" dxfId="1" priority="18" stopIfTrue="1">
      <formula>$H$88=100%</formula>
    </cfRule>
  </conditionalFormatting>
  <conditionalFormatting sqref="J92:J94">
    <cfRule type="expression" dxfId="0" priority="16" stopIfTrue="1">
      <formula>$H$88&lt;100%</formula>
    </cfRule>
  </conditionalFormatting>
  <conditionalFormatting sqref="AB29:AD39">
    <cfRule type="colorScale" priority="11">
      <colorScale>
        <cfvo type="min"/>
        <cfvo type="percentile" val="50"/>
        <cfvo type="max"/>
        <color rgb="FFF8696B"/>
        <color rgb="FFFFEB84"/>
        <color rgb="FF63BE7B"/>
      </colorScale>
    </cfRule>
  </conditionalFormatting>
  <dataValidations count="7">
    <dataValidation type="list" allowBlank="1" showInputMessage="1" showErrorMessage="1" sqref="H23" xr:uid="{00000000-0002-0000-0200-000000000000}">
      <formula1>$I$171:$I$183</formula1>
    </dataValidation>
    <dataValidation type="list" allowBlank="1" showInputMessage="1" showErrorMessage="1" sqref="H29:H32" xr:uid="{00000000-0002-0000-0200-000001000000}">
      <formula1>$G$171:$G$177</formula1>
    </dataValidation>
    <dataValidation type="list" allowBlank="1" showInputMessage="1" showErrorMessage="1" sqref="C55" xr:uid="{00000000-0002-0000-0200-000003000000}">
      <formula1>$C$224:$C$226</formula1>
    </dataValidation>
    <dataValidation type="list" allowBlank="1" showInputMessage="1" showErrorMessage="1" sqref="C57" xr:uid="{00000000-0002-0000-0200-000004000000}">
      <formula1>$C$198:$C$200</formula1>
    </dataValidation>
    <dataValidation type="list" allowBlank="1" showInputMessage="1" showErrorMessage="1" sqref="G97" xr:uid="{00000000-0002-0000-0200-000005000000}">
      <formula1>$C$189:$C$192</formula1>
    </dataValidation>
    <dataValidation type="list" allowBlank="1" showInputMessage="1" showErrorMessage="1" sqref="H63:I63" xr:uid="{00000000-0002-0000-0200-000006000000}">
      <formula1>$C$172:$C$174</formula1>
    </dataValidation>
    <dataValidation type="list" allowBlank="1" showInputMessage="1" showErrorMessage="1" sqref="H65:I65" xr:uid="{8D104C7B-8247-4B72-B6BC-F7847A855D1A}">
      <formula1>$Y$194:$Y$197</formula1>
    </dataValidation>
  </dataValidations>
  <hyperlinks>
    <hyperlink ref="C127" r:id="rId1" xr:uid="{00000000-0004-0000-0200-000000000000}"/>
    <hyperlink ref="G72" r:id="rId2" xr:uid="{00000000-0004-0000-0200-000001000000}"/>
  </hyperlinks>
  <printOptions horizontalCentered="1"/>
  <pageMargins left="0.39370078740157483" right="0.39370078740157483" top="0.59055118110236227" bottom="0.59055118110236227" header="0.51181102362204722" footer="0.51181102362204722"/>
  <pageSetup paperSize="9" scale="50" orientation="portrait" r:id="rId3"/>
  <headerFooter alignWithMargins="0">
    <oddFooter>&amp;R_x000D_&amp;1#&amp;"Arial"&amp;7&amp;K000000 Klassifizierung: Vertraulich/Confidential</oddFooter>
  </headerFooter>
  <cellWatches>
    <cellWatch r="C183"/>
  </cellWatches>
  <ignoredErrors>
    <ignoredError sqref="I67" unlockedFormula="1"/>
  </ignoredErrors>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2">
    <tabColor indexed="22"/>
  </sheetPr>
  <dimension ref="A1:AJ52"/>
  <sheetViews>
    <sheetView showRowColHeaders="0" zoomScale="80" zoomScaleNormal="80" zoomScaleSheetLayoutView="100" workbookViewId="0">
      <selection activeCell="U17" sqref="U17"/>
    </sheetView>
  </sheetViews>
  <sheetFormatPr baseColWidth="10" defaultColWidth="11.28515625" defaultRowHeight="12.75" x14ac:dyDescent="0.2"/>
  <cols>
    <col min="1" max="1" width="0.85546875" style="1" customWidth="1"/>
    <col min="2" max="2" width="4.85546875" style="1" customWidth="1"/>
    <col min="3" max="3" width="4.28515625" style="1" customWidth="1"/>
    <col min="4" max="5" width="7.7109375" style="1" bestFit="1" customWidth="1"/>
    <col min="6" max="6" width="8.85546875" style="1" bestFit="1" customWidth="1"/>
    <col min="7" max="9" width="7.7109375" style="1" bestFit="1" customWidth="1"/>
    <col min="10" max="10" width="7" style="1" customWidth="1"/>
    <col min="11" max="16" width="7.7109375" style="1" bestFit="1" customWidth="1"/>
    <col min="17" max="17" width="4.7109375" style="1" bestFit="1" customWidth="1"/>
    <col min="18" max="18" width="8.7109375" style="1" bestFit="1" customWidth="1"/>
    <col min="19" max="19" width="7.28515625" style="1" bestFit="1" customWidth="1"/>
    <col min="20" max="25" width="11.28515625" style="1"/>
    <col min="26" max="26" width="2.85546875" style="1" customWidth="1"/>
    <col min="27" max="16384" width="11.28515625" style="1"/>
  </cols>
  <sheetData>
    <row r="1" spans="1:36" x14ac:dyDescent="0.2">
      <c r="A1" s="120"/>
    </row>
    <row r="2" spans="1:36" x14ac:dyDescent="0.2">
      <c r="A2" s="120"/>
      <c r="Z2" s="113"/>
      <c r="AA2" s="113"/>
      <c r="AB2" s="113"/>
      <c r="AC2" s="113"/>
      <c r="AD2" s="113"/>
      <c r="AE2" s="113"/>
      <c r="AF2" s="113"/>
      <c r="AG2" s="113">
        <f>HLOOKUP(AD13,D6:P7,2,TRUE)</f>
        <v>8</v>
      </c>
      <c r="AH2" s="113"/>
      <c r="AI2" s="113"/>
    </row>
    <row r="3" spans="1:36" x14ac:dyDescent="0.2">
      <c r="A3" s="120"/>
      <c r="Z3" s="113"/>
      <c r="AA3" s="113"/>
      <c r="AB3" s="113"/>
      <c r="AC3" s="113"/>
      <c r="AD3" s="113"/>
      <c r="AE3" s="113"/>
      <c r="AF3" s="113"/>
      <c r="AG3" s="113"/>
      <c r="AH3" s="113"/>
      <c r="AI3" s="113"/>
      <c r="AJ3" s="293"/>
    </row>
    <row r="4" spans="1:36" x14ac:dyDescent="0.2">
      <c r="A4" s="120"/>
      <c r="B4" s="120"/>
      <c r="C4" s="120"/>
      <c r="D4" s="120"/>
      <c r="E4" s="120"/>
      <c r="F4" s="120"/>
      <c r="G4" s="120"/>
      <c r="H4" s="120"/>
      <c r="I4" s="120"/>
      <c r="J4" s="120"/>
      <c r="K4" s="120"/>
      <c r="L4" s="120"/>
      <c r="M4" s="120"/>
      <c r="N4" s="120"/>
      <c r="O4" s="120"/>
      <c r="P4" s="120"/>
      <c r="Q4" s="120"/>
      <c r="R4" s="120"/>
      <c r="S4" s="120"/>
      <c r="T4" s="120"/>
      <c r="U4" s="120"/>
      <c r="V4" s="120"/>
      <c r="W4" s="120"/>
      <c r="X4" s="120"/>
      <c r="Y4" s="120"/>
      <c r="Z4" s="113"/>
      <c r="AA4" s="113" t="s">
        <v>2103</v>
      </c>
      <c r="AB4" s="113">
        <v>78</v>
      </c>
      <c r="AC4" s="113">
        <f t="shared" ref="AC4:AC10" si="0">C8</f>
        <v>0</v>
      </c>
      <c r="AD4" s="113">
        <f>VLOOKUP(AB4,AC4:AC10,1)</f>
        <v>75</v>
      </c>
      <c r="AE4" s="113" t="s">
        <v>2612</v>
      </c>
      <c r="AF4" s="113">
        <f>AB4-AD4</f>
        <v>3</v>
      </c>
      <c r="AG4" s="113">
        <f>VLOOKUP(AD5,C6:P14,AG2,TRUE)</f>
        <v>65</v>
      </c>
      <c r="AH4" s="113"/>
      <c r="AI4" s="113"/>
      <c r="AJ4" s="293">
        <f>HLOOKUP(AB4,C6:P14,3,TRUE)</f>
        <v>85</v>
      </c>
    </row>
    <row r="5" spans="1:36" ht="18" x14ac:dyDescent="0.2">
      <c r="A5" s="120"/>
      <c r="B5" s="335"/>
      <c r="C5" s="336"/>
      <c r="D5" s="337" t="s">
        <v>2366</v>
      </c>
      <c r="E5" s="337"/>
      <c r="F5" s="337"/>
      <c r="G5" s="337"/>
      <c r="H5" s="337"/>
      <c r="I5" s="337"/>
      <c r="J5" s="337" t="s">
        <v>2104</v>
      </c>
      <c r="K5" s="337"/>
      <c r="L5" s="337"/>
      <c r="M5" s="337"/>
      <c r="N5" s="337"/>
      <c r="O5" s="337"/>
      <c r="P5" s="338" t="s">
        <v>2367</v>
      </c>
      <c r="Q5" s="112"/>
      <c r="R5" s="112"/>
      <c r="S5" s="132" t="s">
        <v>2105</v>
      </c>
      <c r="T5" s="112"/>
      <c r="U5" s="112"/>
      <c r="V5" s="112"/>
      <c r="W5" s="112"/>
      <c r="X5" s="112"/>
      <c r="Y5" s="112"/>
      <c r="Z5" s="112"/>
      <c r="AA5" s="113"/>
      <c r="AB5" s="113">
        <f t="shared" ref="AB5:AB10" si="1">AB4</f>
        <v>78</v>
      </c>
      <c r="AC5" s="113">
        <f t="shared" si="0"/>
        <v>15</v>
      </c>
      <c r="AD5" s="113">
        <f>AD4+15</f>
        <v>90</v>
      </c>
      <c r="AE5" s="113" t="s">
        <v>2613</v>
      </c>
      <c r="AF5" s="113">
        <f>AD5-AB4</f>
        <v>12</v>
      </c>
      <c r="AG5" s="113"/>
      <c r="AH5" s="113"/>
      <c r="AI5" s="113"/>
      <c r="AJ5" s="293">
        <f>VLOOKUP(AB13,C6:P14,1,TRUE)</f>
        <v>15</v>
      </c>
    </row>
    <row r="6" spans="1:36" x14ac:dyDescent="0.2">
      <c r="A6" s="120"/>
      <c r="B6" s="339"/>
      <c r="C6" s="299"/>
      <c r="D6" s="300">
        <v>-90</v>
      </c>
      <c r="E6" s="300">
        <v>-75</v>
      </c>
      <c r="F6" s="300">
        <v>-60</v>
      </c>
      <c r="G6" s="300">
        <v>-45</v>
      </c>
      <c r="H6" s="300">
        <v>-30</v>
      </c>
      <c r="I6" s="300">
        <v>-15</v>
      </c>
      <c r="J6" s="300">
        <v>0</v>
      </c>
      <c r="K6" s="300">
        <v>15</v>
      </c>
      <c r="L6" s="300">
        <v>30</v>
      </c>
      <c r="M6" s="300">
        <v>45</v>
      </c>
      <c r="N6" s="300">
        <v>60</v>
      </c>
      <c r="O6" s="300">
        <v>75</v>
      </c>
      <c r="P6" s="340">
        <v>90</v>
      </c>
      <c r="Q6" s="112"/>
      <c r="R6" s="112"/>
      <c r="S6" s="114">
        <v>55</v>
      </c>
      <c r="T6" s="112"/>
      <c r="U6" s="112"/>
      <c r="V6" s="112"/>
      <c r="W6" s="112"/>
      <c r="X6" s="112"/>
      <c r="Y6" s="112"/>
      <c r="Z6" s="112"/>
      <c r="AA6" s="113"/>
      <c r="AB6" s="113">
        <f t="shared" si="1"/>
        <v>78</v>
      </c>
      <c r="AC6" s="113">
        <f t="shared" si="0"/>
        <v>30</v>
      </c>
      <c r="AD6" s="113"/>
      <c r="AE6" s="113"/>
      <c r="AF6" s="113"/>
      <c r="AG6" s="113"/>
      <c r="AH6" s="113"/>
      <c r="AI6" s="113"/>
      <c r="AJ6" s="293"/>
    </row>
    <row r="7" spans="1:36" x14ac:dyDescent="0.2">
      <c r="A7" s="120"/>
      <c r="B7" s="339"/>
      <c r="C7" s="301"/>
      <c r="D7" s="302">
        <v>1</v>
      </c>
      <c r="E7" s="302">
        <v>2</v>
      </c>
      <c r="F7" s="302">
        <v>3</v>
      </c>
      <c r="G7" s="302">
        <v>4</v>
      </c>
      <c r="H7" s="302">
        <v>5</v>
      </c>
      <c r="I7" s="302">
        <v>6</v>
      </c>
      <c r="J7" s="302">
        <v>7</v>
      </c>
      <c r="K7" s="302">
        <v>8</v>
      </c>
      <c r="L7" s="302">
        <v>9</v>
      </c>
      <c r="M7" s="302">
        <v>10</v>
      </c>
      <c r="N7" s="302">
        <v>11</v>
      </c>
      <c r="O7" s="302">
        <v>12</v>
      </c>
      <c r="P7" s="341">
        <v>13</v>
      </c>
      <c r="Q7" s="112"/>
      <c r="R7" s="112"/>
      <c r="S7" s="331">
        <v>65</v>
      </c>
      <c r="T7" s="112"/>
      <c r="U7" s="112"/>
      <c r="V7" s="112"/>
      <c r="W7" s="112"/>
      <c r="X7" s="332"/>
      <c r="Y7" s="112"/>
      <c r="Z7" s="112"/>
      <c r="AA7" s="113"/>
      <c r="AB7" s="113">
        <f t="shared" si="1"/>
        <v>78</v>
      </c>
      <c r="AC7" s="113">
        <f t="shared" si="0"/>
        <v>45</v>
      </c>
      <c r="AD7" s="113"/>
      <c r="AE7" s="113"/>
      <c r="AF7" s="113"/>
      <c r="AG7" s="113"/>
      <c r="AH7" s="113"/>
      <c r="AI7" s="113"/>
      <c r="AJ7" s="293"/>
    </row>
    <row r="8" spans="1:36" x14ac:dyDescent="0.2">
      <c r="A8" s="120"/>
      <c r="B8" s="524" t="s">
        <v>2103</v>
      </c>
      <c r="C8" s="333">
        <v>0</v>
      </c>
      <c r="D8" s="303">
        <v>85</v>
      </c>
      <c r="E8" s="303">
        <v>85</v>
      </c>
      <c r="F8" s="303">
        <v>85</v>
      </c>
      <c r="G8" s="303">
        <v>85</v>
      </c>
      <c r="H8" s="303">
        <v>85</v>
      </c>
      <c r="I8" s="303">
        <v>85</v>
      </c>
      <c r="J8" s="303">
        <v>85</v>
      </c>
      <c r="K8" s="303">
        <v>85</v>
      </c>
      <c r="L8" s="303">
        <v>85</v>
      </c>
      <c r="M8" s="303">
        <v>85</v>
      </c>
      <c r="N8" s="303">
        <v>85</v>
      </c>
      <c r="O8" s="303">
        <v>85</v>
      </c>
      <c r="P8" s="342">
        <v>85</v>
      </c>
      <c r="Q8" s="112"/>
      <c r="R8" s="112"/>
      <c r="S8" s="331">
        <v>75</v>
      </c>
      <c r="T8" s="112"/>
      <c r="U8" s="112"/>
      <c r="V8" s="112"/>
      <c r="W8" s="112"/>
      <c r="X8" s="112"/>
      <c r="Y8" s="112"/>
      <c r="Z8" s="112"/>
      <c r="AA8" s="113"/>
      <c r="AB8" s="113">
        <f t="shared" si="1"/>
        <v>78</v>
      </c>
      <c r="AC8" s="113">
        <f t="shared" si="0"/>
        <v>60</v>
      </c>
      <c r="AD8" s="113"/>
      <c r="AE8" s="113"/>
      <c r="AF8" s="113"/>
      <c r="AG8" s="113"/>
      <c r="AH8" s="113"/>
      <c r="AI8" s="113"/>
    </row>
    <row r="9" spans="1:36" x14ac:dyDescent="0.2">
      <c r="A9" s="120"/>
      <c r="B9" s="525"/>
      <c r="C9" s="333">
        <v>15</v>
      </c>
      <c r="D9" s="303">
        <v>85</v>
      </c>
      <c r="E9" s="303">
        <v>85</v>
      </c>
      <c r="F9" s="303">
        <v>85</v>
      </c>
      <c r="G9" s="304">
        <v>95</v>
      </c>
      <c r="H9" s="304">
        <v>95</v>
      </c>
      <c r="I9" s="304">
        <v>95</v>
      </c>
      <c r="J9" s="304">
        <v>95</v>
      </c>
      <c r="K9" s="304">
        <v>95</v>
      </c>
      <c r="L9" s="304">
        <v>95</v>
      </c>
      <c r="M9" s="304">
        <v>95</v>
      </c>
      <c r="N9" s="303">
        <v>85</v>
      </c>
      <c r="O9" s="303">
        <v>85</v>
      </c>
      <c r="P9" s="342">
        <v>85</v>
      </c>
      <c r="Q9" s="112"/>
      <c r="R9" s="112"/>
      <c r="S9" s="331">
        <v>85</v>
      </c>
      <c r="T9" s="112"/>
      <c r="U9" s="112"/>
      <c r="V9" s="112"/>
      <c r="W9" s="112"/>
      <c r="X9" s="112" t="s">
        <v>2167</v>
      </c>
      <c r="Y9" s="112"/>
      <c r="Z9" s="112"/>
      <c r="AA9" s="113"/>
      <c r="AB9" s="113">
        <f t="shared" si="1"/>
        <v>78</v>
      </c>
      <c r="AC9" s="113">
        <f t="shared" si="0"/>
        <v>75</v>
      </c>
      <c r="AD9" s="113"/>
      <c r="AE9" s="113"/>
      <c r="AF9" s="113"/>
      <c r="AG9" s="113"/>
      <c r="AH9" s="113"/>
      <c r="AI9" s="113"/>
    </row>
    <row r="10" spans="1:36" x14ac:dyDescent="0.2">
      <c r="A10" s="120"/>
      <c r="B10" s="525"/>
      <c r="C10" s="333">
        <v>30</v>
      </c>
      <c r="D10" s="303">
        <v>85</v>
      </c>
      <c r="E10" s="303">
        <v>85</v>
      </c>
      <c r="F10" s="303">
        <v>85</v>
      </c>
      <c r="G10" s="304">
        <v>95</v>
      </c>
      <c r="H10" s="304">
        <v>95</v>
      </c>
      <c r="I10" s="304">
        <v>95</v>
      </c>
      <c r="J10" s="305">
        <v>100</v>
      </c>
      <c r="K10" s="304">
        <v>95</v>
      </c>
      <c r="L10" s="304">
        <v>95</v>
      </c>
      <c r="M10" s="304">
        <v>95</v>
      </c>
      <c r="N10" s="303">
        <v>85</v>
      </c>
      <c r="O10" s="303">
        <v>85</v>
      </c>
      <c r="P10" s="342">
        <v>85</v>
      </c>
      <c r="Q10" s="112"/>
      <c r="R10" s="112"/>
      <c r="S10" s="331">
        <v>95</v>
      </c>
      <c r="T10" s="112"/>
      <c r="U10" s="112"/>
      <c r="V10" s="112"/>
      <c r="W10" s="112"/>
      <c r="X10" s="112"/>
      <c r="Y10" s="112"/>
      <c r="Z10" s="112"/>
      <c r="AA10" s="113"/>
      <c r="AB10" s="113">
        <f t="shared" si="1"/>
        <v>78</v>
      </c>
      <c r="AC10" s="113">
        <f t="shared" si="0"/>
        <v>90</v>
      </c>
      <c r="AD10" s="113"/>
      <c r="AE10" s="113"/>
      <c r="AF10" s="113"/>
      <c r="AG10" s="113"/>
      <c r="AH10" s="113"/>
      <c r="AI10" s="113"/>
    </row>
    <row r="11" spans="1:36" x14ac:dyDescent="0.2">
      <c r="A11" s="120"/>
      <c r="B11" s="525"/>
      <c r="C11" s="333">
        <v>45</v>
      </c>
      <c r="D11" s="306">
        <v>75</v>
      </c>
      <c r="E11" s="303">
        <v>85</v>
      </c>
      <c r="F11" s="303">
        <v>85</v>
      </c>
      <c r="G11" s="303">
        <v>85</v>
      </c>
      <c r="H11" s="304">
        <v>95</v>
      </c>
      <c r="I11" s="304">
        <v>95</v>
      </c>
      <c r="J11" s="304">
        <v>95</v>
      </c>
      <c r="K11" s="304">
        <v>95</v>
      </c>
      <c r="L11" s="304">
        <v>95</v>
      </c>
      <c r="M11" s="303">
        <v>85</v>
      </c>
      <c r="N11" s="303">
        <v>85</v>
      </c>
      <c r="O11" s="303">
        <v>85</v>
      </c>
      <c r="P11" s="343">
        <v>75</v>
      </c>
      <c r="Q11" s="112"/>
      <c r="R11" s="112"/>
      <c r="S11" s="331">
        <v>100</v>
      </c>
      <c r="T11" s="112"/>
      <c r="U11" s="112"/>
      <c r="V11" s="112"/>
      <c r="W11" s="112"/>
      <c r="X11" s="112"/>
      <c r="Y11" s="112"/>
      <c r="Z11" s="112"/>
      <c r="AA11" s="113"/>
      <c r="AB11" s="113"/>
      <c r="AC11" s="113"/>
      <c r="AD11" s="113"/>
      <c r="AE11" s="113"/>
      <c r="AF11" s="113"/>
      <c r="AG11" s="113"/>
      <c r="AH11" s="113"/>
      <c r="AI11" s="113"/>
    </row>
    <row r="12" spans="1:36" x14ac:dyDescent="0.2">
      <c r="A12" s="120"/>
      <c r="B12" s="525"/>
      <c r="C12" s="333">
        <v>60</v>
      </c>
      <c r="D12" s="306">
        <v>75</v>
      </c>
      <c r="E12" s="306">
        <v>75</v>
      </c>
      <c r="F12" s="306">
        <v>75</v>
      </c>
      <c r="G12" s="303">
        <v>85</v>
      </c>
      <c r="H12" s="303">
        <v>85</v>
      </c>
      <c r="I12" s="303">
        <v>85</v>
      </c>
      <c r="J12" s="303">
        <v>85</v>
      </c>
      <c r="K12" s="303">
        <v>85</v>
      </c>
      <c r="L12" s="303">
        <v>85</v>
      </c>
      <c r="M12" s="303">
        <v>85</v>
      </c>
      <c r="N12" s="306">
        <v>75</v>
      </c>
      <c r="O12" s="306">
        <v>75</v>
      </c>
      <c r="P12" s="343">
        <v>75</v>
      </c>
      <c r="Q12" s="112"/>
      <c r="R12" s="112"/>
      <c r="S12" s="133"/>
      <c r="T12" s="112"/>
      <c r="U12" s="112"/>
      <c r="V12" s="112"/>
      <c r="W12" s="112"/>
      <c r="X12" s="112"/>
      <c r="Y12" s="112"/>
      <c r="Z12" s="112"/>
      <c r="AA12" s="113"/>
      <c r="AB12" s="113"/>
      <c r="AC12" s="113"/>
      <c r="AD12" s="113"/>
      <c r="AE12" s="113"/>
      <c r="AF12" s="113"/>
      <c r="AG12" s="113"/>
      <c r="AH12" s="113"/>
      <c r="AI12" s="113"/>
    </row>
    <row r="13" spans="1:36" x14ac:dyDescent="0.2">
      <c r="A13" s="120"/>
      <c r="B13" s="525"/>
      <c r="C13" s="333">
        <v>75</v>
      </c>
      <c r="D13" s="307">
        <v>65</v>
      </c>
      <c r="E13" s="307">
        <v>65</v>
      </c>
      <c r="F13" s="306">
        <v>75</v>
      </c>
      <c r="G13" s="306">
        <v>75</v>
      </c>
      <c r="H13" s="306">
        <v>75</v>
      </c>
      <c r="I13" s="306">
        <v>75</v>
      </c>
      <c r="J13" s="306">
        <v>75</v>
      </c>
      <c r="K13" s="306">
        <v>75</v>
      </c>
      <c r="L13" s="306">
        <v>75</v>
      </c>
      <c r="M13" s="306">
        <v>75</v>
      </c>
      <c r="N13" s="306">
        <v>75</v>
      </c>
      <c r="O13" s="307">
        <v>65</v>
      </c>
      <c r="P13" s="344">
        <v>65</v>
      </c>
      <c r="Q13" s="112"/>
      <c r="R13" s="112"/>
      <c r="S13" s="114"/>
      <c r="T13" s="112"/>
      <c r="U13" s="112"/>
      <c r="V13" s="112"/>
      <c r="W13" s="112"/>
      <c r="X13" s="112"/>
      <c r="Y13" s="112"/>
      <c r="Z13" s="112"/>
      <c r="AA13" s="113" t="s">
        <v>2104</v>
      </c>
      <c r="AB13" s="113">
        <v>20</v>
      </c>
      <c r="AC13" s="113">
        <v>-90</v>
      </c>
      <c r="AD13" s="113">
        <f>VLOOKUP(AB13,AC13:AC25,1)</f>
        <v>15</v>
      </c>
      <c r="AE13" s="113" t="s">
        <v>2612</v>
      </c>
      <c r="AF13" s="113">
        <f>AB13-AD13</f>
        <v>5</v>
      </c>
      <c r="AG13" s="113"/>
      <c r="AH13" s="113"/>
      <c r="AI13" s="113"/>
    </row>
    <row r="14" spans="1:36" x14ac:dyDescent="0.2">
      <c r="A14" s="120"/>
      <c r="B14" s="526"/>
      <c r="C14" s="334">
        <v>90</v>
      </c>
      <c r="D14" s="345">
        <v>55</v>
      </c>
      <c r="E14" s="345">
        <v>55</v>
      </c>
      <c r="F14" s="346">
        <v>65</v>
      </c>
      <c r="G14" s="346">
        <v>65</v>
      </c>
      <c r="H14" s="346">
        <v>65</v>
      </c>
      <c r="I14" s="346">
        <v>65</v>
      </c>
      <c r="J14" s="346">
        <v>65</v>
      </c>
      <c r="K14" s="346">
        <v>65</v>
      </c>
      <c r="L14" s="346">
        <v>65</v>
      </c>
      <c r="M14" s="346">
        <v>65</v>
      </c>
      <c r="N14" s="346">
        <v>65</v>
      </c>
      <c r="O14" s="345">
        <v>55</v>
      </c>
      <c r="P14" s="347">
        <v>55</v>
      </c>
      <c r="Q14" s="112"/>
      <c r="R14" s="112"/>
      <c r="S14" s="133"/>
      <c r="T14" s="112"/>
      <c r="U14" s="112"/>
      <c r="V14" s="112"/>
      <c r="W14" s="112"/>
      <c r="X14" s="112"/>
      <c r="Y14" s="112"/>
      <c r="Z14" s="112"/>
      <c r="AA14" s="113"/>
      <c r="AB14" s="113">
        <f>AB13</f>
        <v>20</v>
      </c>
      <c r="AC14" s="113">
        <v>-75</v>
      </c>
      <c r="AD14" s="113">
        <f>AD13+15</f>
        <v>30</v>
      </c>
      <c r="AE14" s="113" t="s">
        <v>2613</v>
      </c>
      <c r="AF14" s="113">
        <f>AD14-AB13</f>
        <v>10</v>
      </c>
      <c r="AG14" s="113"/>
      <c r="AH14" s="113"/>
      <c r="AI14" s="113"/>
    </row>
    <row r="15" spans="1:36" x14ac:dyDescent="0.2">
      <c r="A15" s="120"/>
      <c r="B15" s="339"/>
      <c r="C15" s="240" t="s">
        <v>2368</v>
      </c>
      <c r="D15" s="240"/>
      <c r="E15" s="240"/>
      <c r="F15" s="240"/>
      <c r="G15" s="240"/>
      <c r="H15" s="240"/>
      <c r="I15" s="240"/>
      <c r="J15" s="240"/>
      <c r="K15" s="240"/>
      <c r="L15" s="240"/>
      <c r="M15" s="240"/>
      <c r="N15" s="240"/>
      <c r="O15" s="240"/>
      <c r="P15" s="355"/>
      <c r="Q15" s="112"/>
      <c r="R15" s="112"/>
      <c r="S15" s="133"/>
      <c r="T15" s="112"/>
      <c r="U15" s="112"/>
      <c r="V15" s="112"/>
      <c r="W15" s="112"/>
      <c r="X15" s="112"/>
      <c r="Y15" s="112"/>
      <c r="Z15" s="112"/>
      <c r="AA15" s="113"/>
      <c r="AB15" s="113">
        <f t="shared" ref="AB15:AB25" si="2">AB14</f>
        <v>20</v>
      </c>
      <c r="AC15" s="113">
        <v>-60</v>
      </c>
      <c r="AD15" s="113"/>
      <c r="AE15" s="113"/>
      <c r="AF15" s="113"/>
      <c r="AG15" s="113"/>
      <c r="AH15" s="113"/>
      <c r="AI15" s="113"/>
    </row>
    <row r="16" spans="1:36" x14ac:dyDescent="0.2">
      <c r="A16" s="120"/>
      <c r="B16" s="339"/>
      <c r="C16" s="240"/>
      <c r="D16" s="240"/>
      <c r="E16" s="240"/>
      <c r="F16" s="240"/>
      <c r="G16" s="240"/>
      <c r="H16" s="240"/>
      <c r="I16" s="240"/>
      <c r="J16" s="240"/>
      <c r="K16" s="240"/>
      <c r="L16" s="240"/>
      <c r="M16" s="240"/>
      <c r="N16" s="240"/>
      <c r="O16" s="240"/>
      <c r="P16" s="355"/>
      <c r="Q16" s="112"/>
      <c r="R16" s="112"/>
      <c r="S16" s="133"/>
      <c r="T16" s="112"/>
      <c r="U16" s="112"/>
      <c r="V16" s="112"/>
      <c r="W16" s="112"/>
      <c r="X16" s="112"/>
      <c r="Y16" s="112"/>
      <c r="Z16" s="112"/>
      <c r="AA16" s="113"/>
      <c r="AB16" s="113">
        <f t="shared" si="2"/>
        <v>20</v>
      </c>
      <c r="AC16" s="113">
        <v>-45</v>
      </c>
      <c r="AD16" s="113"/>
      <c r="AE16" s="113"/>
      <c r="AF16" s="113"/>
      <c r="AG16" s="113"/>
      <c r="AH16" s="113"/>
      <c r="AI16" s="113"/>
    </row>
    <row r="17" spans="1:35" x14ac:dyDescent="0.2">
      <c r="A17" s="120"/>
      <c r="B17" s="339"/>
      <c r="C17" s="239" t="s">
        <v>2369</v>
      </c>
      <c r="D17" s="240"/>
      <c r="E17" s="240"/>
      <c r="F17" s="240"/>
      <c r="G17" s="240"/>
      <c r="H17" s="240"/>
      <c r="I17" s="240">
        <f>Eingabe!H15</f>
        <v>1084</v>
      </c>
      <c r="J17" s="240" t="s">
        <v>97</v>
      </c>
      <c r="K17" s="240"/>
      <c r="L17" s="308"/>
      <c r="M17" s="309">
        <f>I17/85</f>
        <v>12.752941176470589</v>
      </c>
      <c r="N17" s="240"/>
      <c r="O17" s="240"/>
      <c r="P17" s="355"/>
      <c r="Q17" s="112"/>
      <c r="R17" s="112"/>
      <c r="S17" s="133"/>
      <c r="T17" s="112"/>
      <c r="U17" s="112"/>
      <c r="V17" s="112"/>
      <c r="W17" s="112"/>
      <c r="X17" s="112"/>
      <c r="Y17" s="112"/>
      <c r="Z17" s="112"/>
      <c r="AA17" s="113"/>
      <c r="AB17" s="113">
        <f t="shared" si="2"/>
        <v>20</v>
      </c>
      <c r="AC17" s="113">
        <v>-30</v>
      </c>
      <c r="AD17" s="113"/>
      <c r="AE17" s="113"/>
      <c r="AF17" s="113"/>
      <c r="AG17" s="113"/>
      <c r="AH17" s="113"/>
      <c r="AI17" s="113"/>
    </row>
    <row r="18" spans="1:35" x14ac:dyDescent="0.2">
      <c r="A18" s="120"/>
      <c r="B18" s="356"/>
      <c r="C18" s="357"/>
      <c r="D18" s="358"/>
      <c r="E18" s="358"/>
      <c r="F18" s="358"/>
      <c r="G18" s="358"/>
      <c r="H18" s="358"/>
      <c r="I18" s="358"/>
      <c r="J18" s="358"/>
      <c r="K18" s="358"/>
      <c r="L18" s="358"/>
      <c r="M18" s="358"/>
      <c r="N18" s="358"/>
      <c r="O18" s="358"/>
      <c r="P18" s="359"/>
      <c r="Q18" s="112"/>
      <c r="R18" s="112"/>
      <c r="S18" s="112"/>
      <c r="T18" s="112"/>
      <c r="U18" s="112"/>
      <c r="V18" s="112"/>
      <c r="W18" s="112"/>
      <c r="X18" s="112"/>
      <c r="Y18" s="112"/>
      <c r="Z18" s="112"/>
      <c r="AA18" s="113"/>
      <c r="AB18" s="113">
        <f t="shared" si="2"/>
        <v>20</v>
      </c>
      <c r="AC18" s="113">
        <v>-15</v>
      </c>
      <c r="AD18" s="113"/>
      <c r="AE18" s="113"/>
      <c r="AF18" s="113"/>
      <c r="AG18" s="113"/>
      <c r="AH18" s="113"/>
      <c r="AI18" s="113"/>
    </row>
    <row r="19" spans="1:35" x14ac:dyDescent="0.2">
      <c r="A19" s="120"/>
      <c r="B19" s="260"/>
      <c r="C19" s="260"/>
      <c r="D19" s="354"/>
      <c r="E19" s="354"/>
      <c r="F19" s="354"/>
      <c r="G19" s="354"/>
      <c r="H19" s="354"/>
      <c r="I19" s="354"/>
      <c r="J19" s="354"/>
      <c r="K19" s="354"/>
      <c r="L19" s="354"/>
      <c r="M19" s="354"/>
      <c r="N19" s="354"/>
      <c r="O19" s="354"/>
      <c r="P19" s="354"/>
      <c r="Q19" s="112"/>
      <c r="R19" s="112"/>
      <c r="S19" s="112"/>
      <c r="T19" s="112"/>
      <c r="U19" s="112"/>
      <c r="V19" s="112"/>
      <c r="W19" s="112"/>
      <c r="X19" s="112"/>
      <c r="Y19" s="112"/>
      <c r="Z19" s="112"/>
      <c r="AA19" s="113"/>
      <c r="AB19" s="113">
        <f t="shared" si="2"/>
        <v>20</v>
      </c>
      <c r="AC19" s="113">
        <v>0</v>
      </c>
      <c r="AD19" s="113"/>
      <c r="AE19" s="113"/>
      <c r="AF19" s="113"/>
      <c r="AG19" s="113"/>
      <c r="AH19" s="113"/>
      <c r="AI19" s="113"/>
    </row>
    <row r="20" spans="1:35" x14ac:dyDescent="0.2">
      <c r="A20" s="120"/>
      <c r="B20" s="260"/>
      <c r="C20" s="330"/>
      <c r="D20" s="260"/>
      <c r="E20" s="260"/>
      <c r="F20" s="260"/>
      <c r="G20" s="260"/>
      <c r="H20" s="260"/>
      <c r="I20" s="260"/>
      <c r="J20" s="260"/>
      <c r="K20" s="260"/>
      <c r="L20" s="260"/>
      <c r="M20" s="260"/>
      <c r="N20" s="260"/>
      <c r="O20" s="260"/>
      <c r="P20" s="260"/>
      <c r="Q20" s="112"/>
      <c r="R20" s="112"/>
      <c r="S20" s="112"/>
      <c r="T20" s="112"/>
      <c r="U20" s="112"/>
      <c r="V20" s="112"/>
      <c r="W20" s="112"/>
      <c r="X20" s="112"/>
      <c r="Y20" s="112"/>
      <c r="Z20" s="112"/>
      <c r="AA20" s="113"/>
      <c r="AB20" s="113">
        <f t="shared" si="2"/>
        <v>20</v>
      </c>
      <c r="AC20" s="113">
        <v>15</v>
      </c>
      <c r="AD20" s="113"/>
      <c r="AE20" s="113"/>
      <c r="AF20" s="113"/>
      <c r="AG20" s="113"/>
      <c r="AH20" s="113"/>
      <c r="AI20" s="113"/>
    </row>
    <row r="21" spans="1:35" ht="18" x14ac:dyDescent="0.2">
      <c r="A21" s="120"/>
      <c r="B21" s="335"/>
      <c r="C21" s="336"/>
      <c r="D21" s="337" t="s">
        <v>2366</v>
      </c>
      <c r="E21" s="337"/>
      <c r="F21" s="337"/>
      <c r="G21" s="337"/>
      <c r="H21" s="337"/>
      <c r="I21" s="337"/>
      <c r="J21" s="337" t="s">
        <v>2104</v>
      </c>
      <c r="K21" s="337"/>
      <c r="L21" s="337"/>
      <c r="M21" s="337"/>
      <c r="N21" s="337"/>
      <c r="O21" s="337"/>
      <c r="P21" s="338" t="s">
        <v>2367</v>
      </c>
      <c r="Q21" s="112"/>
      <c r="R21" s="112"/>
      <c r="S21" s="112"/>
      <c r="T21" s="112"/>
      <c r="U21" s="112"/>
      <c r="V21" s="112"/>
      <c r="W21" s="112"/>
      <c r="X21" s="112"/>
      <c r="Y21" s="112"/>
      <c r="Z21" s="112"/>
      <c r="AA21" s="113"/>
      <c r="AB21" s="113">
        <f t="shared" si="2"/>
        <v>20</v>
      </c>
      <c r="AC21" s="113">
        <v>30</v>
      </c>
      <c r="AD21" s="113"/>
      <c r="AE21" s="113"/>
      <c r="AF21" s="113"/>
      <c r="AG21" s="113"/>
      <c r="AH21" s="113"/>
      <c r="AI21" s="113"/>
    </row>
    <row r="22" spans="1:35" x14ac:dyDescent="0.2">
      <c r="A22" s="120"/>
      <c r="B22" s="339"/>
      <c r="C22" s="299"/>
      <c r="D22" s="300">
        <v>-90</v>
      </c>
      <c r="E22" s="300">
        <v>-75</v>
      </c>
      <c r="F22" s="300">
        <v>-60</v>
      </c>
      <c r="G22" s="300">
        <v>-45</v>
      </c>
      <c r="H22" s="300">
        <v>-30</v>
      </c>
      <c r="I22" s="300">
        <v>-15</v>
      </c>
      <c r="J22" s="300">
        <v>0</v>
      </c>
      <c r="K22" s="300">
        <v>15</v>
      </c>
      <c r="L22" s="300">
        <v>30</v>
      </c>
      <c r="M22" s="300">
        <v>45</v>
      </c>
      <c r="N22" s="300">
        <v>60</v>
      </c>
      <c r="O22" s="300">
        <v>75</v>
      </c>
      <c r="P22" s="340">
        <v>90</v>
      </c>
      <c r="Q22" s="112"/>
      <c r="R22" s="112"/>
      <c r="S22" s="112"/>
      <c r="T22" s="112"/>
      <c r="U22" s="112"/>
      <c r="V22" s="112"/>
      <c r="W22" s="112"/>
      <c r="X22" s="112"/>
      <c r="Y22" s="112"/>
      <c r="Z22" s="112"/>
      <c r="AA22" s="113"/>
      <c r="AB22" s="113">
        <f t="shared" si="2"/>
        <v>20</v>
      </c>
      <c r="AC22" s="113">
        <v>45</v>
      </c>
      <c r="AD22" s="113"/>
      <c r="AE22" s="113"/>
      <c r="AF22" s="113"/>
      <c r="AG22" s="113"/>
      <c r="AH22" s="113"/>
      <c r="AI22" s="113"/>
    </row>
    <row r="23" spans="1:35" x14ac:dyDescent="0.2">
      <c r="A23" s="120"/>
      <c r="B23" s="339"/>
      <c r="C23" s="301"/>
      <c r="D23" s="302">
        <v>1</v>
      </c>
      <c r="E23" s="302">
        <v>2</v>
      </c>
      <c r="F23" s="302">
        <v>3</v>
      </c>
      <c r="G23" s="302">
        <v>4</v>
      </c>
      <c r="H23" s="302">
        <v>5</v>
      </c>
      <c r="I23" s="302">
        <v>6</v>
      </c>
      <c r="J23" s="302">
        <v>7</v>
      </c>
      <c r="K23" s="302">
        <v>8</v>
      </c>
      <c r="L23" s="302">
        <v>9</v>
      </c>
      <c r="M23" s="302">
        <v>10</v>
      </c>
      <c r="N23" s="302">
        <v>11</v>
      </c>
      <c r="O23" s="302">
        <v>12</v>
      </c>
      <c r="P23" s="341">
        <v>13</v>
      </c>
      <c r="Q23" s="112"/>
      <c r="R23" s="112"/>
      <c r="S23" s="112"/>
      <c r="T23" s="112"/>
      <c r="U23" s="112"/>
      <c r="V23" s="112"/>
      <c r="W23" s="112"/>
      <c r="X23" s="112"/>
      <c r="Y23" s="112"/>
      <c r="Z23" s="112"/>
      <c r="AA23" s="113"/>
      <c r="AB23" s="113">
        <f t="shared" si="2"/>
        <v>20</v>
      </c>
      <c r="AC23" s="113">
        <v>60</v>
      </c>
      <c r="AD23" s="113"/>
      <c r="AE23" s="113"/>
      <c r="AF23" s="113"/>
      <c r="AG23" s="113"/>
      <c r="AH23" s="113"/>
      <c r="AI23" s="113"/>
    </row>
    <row r="24" spans="1:35" ht="12.75" customHeight="1" x14ac:dyDescent="0.2">
      <c r="A24" s="120"/>
      <c r="B24" s="524" t="s">
        <v>2103</v>
      </c>
      <c r="C24" s="333">
        <v>0</v>
      </c>
      <c r="D24" s="310">
        <f t="shared" ref="D24:P24" si="3">$M$17*D8</f>
        <v>1084</v>
      </c>
      <c r="E24" s="310">
        <f t="shared" si="3"/>
        <v>1084</v>
      </c>
      <c r="F24" s="310">
        <f t="shared" si="3"/>
        <v>1084</v>
      </c>
      <c r="G24" s="310">
        <f t="shared" si="3"/>
        <v>1084</v>
      </c>
      <c r="H24" s="310">
        <f t="shared" si="3"/>
        <v>1084</v>
      </c>
      <c r="I24" s="310">
        <f t="shared" si="3"/>
        <v>1084</v>
      </c>
      <c r="J24" s="310">
        <f t="shared" si="3"/>
        <v>1084</v>
      </c>
      <c r="K24" s="310">
        <f t="shared" si="3"/>
        <v>1084</v>
      </c>
      <c r="L24" s="310">
        <f t="shared" si="3"/>
        <v>1084</v>
      </c>
      <c r="M24" s="310">
        <f t="shared" si="3"/>
        <v>1084</v>
      </c>
      <c r="N24" s="310">
        <f t="shared" si="3"/>
        <v>1084</v>
      </c>
      <c r="O24" s="310">
        <f t="shared" si="3"/>
        <v>1084</v>
      </c>
      <c r="P24" s="348">
        <f t="shared" si="3"/>
        <v>1084</v>
      </c>
      <c r="Q24" s="112"/>
      <c r="R24" s="112"/>
      <c r="S24" s="112"/>
      <c r="T24" s="112"/>
      <c r="U24" s="112"/>
      <c r="V24" s="112"/>
      <c r="W24" s="112"/>
      <c r="X24" s="112"/>
      <c r="Y24" s="112"/>
      <c r="Z24" s="112"/>
      <c r="AA24" s="113"/>
      <c r="AB24" s="113">
        <f t="shared" si="2"/>
        <v>20</v>
      </c>
      <c r="AC24" s="113">
        <v>75</v>
      </c>
      <c r="AD24" s="113"/>
      <c r="AE24" s="113"/>
      <c r="AF24" s="113"/>
      <c r="AG24" s="113"/>
      <c r="AH24" s="113"/>
      <c r="AI24" s="113"/>
    </row>
    <row r="25" spans="1:35" x14ac:dyDescent="0.2">
      <c r="A25" s="120"/>
      <c r="B25" s="525"/>
      <c r="C25" s="333">
        <v>15</v>
      </c>
      <c r="D25" s="310">
        <f t="shared" ref="D25:P25" si="4">$M$17*D9</f>
        <v>1084</v>
      </c>
      <c r="E25" s="310">
        <f t="shared" si="4"/>
        <v>1084</v>
      </c>
      <c r="F25" s="310">
        <f t="shared" si="4"/>
        <v>1084</v>
      </c>
      <c r="G25" s="311">
        <f t="shared" si="4"/>
        <v>1211.5294117647059</v>
      </c>
      <c r="H25" s="311">
        <f t="shared" si="4"/>
        <v>1211.5294117647059</v>
      </c>
      <c r="I25" s="311">
        <f t="shared" si="4"/>
        <v>1211.5294117647059</v>
      </c>
      <c r="J25" s="311">
        <f t="shared" si="4"/>
        <v>1211.5294117647059</v>
      </c>
      <c r="K25" s="311">
        <f t="shared" si="4"/>
        <v>1211.5294117647059</v>
      </c>
      <c r="L25" s="311">
        <f t="shared" si="4"/>
        <v>1211.5294117647059</v>
      </c>
      <c r="M25" s="311">
        <f t="shared" si="4"/>
        <v>1211.5294117647059</v>
      </c>
      <c r="N25" s="310">
        <f t="shared" si="4"/>
        <v>1084</v>
      </c>
      <c r="O25" s="310">
        <f t="shared" si="4"/>
        <v>1084</v>
      </c>
      <c r="P25" s="348">
        <f t="shared" si="4"/>
        <v>1084</v>
      </c>
      <c r="Q25" s="112"/>
      <c r="R25" s="112"/>
      <c r="S25" s="112"/>
      <c r="T25" s="112"/>
      <c r="U25" s="112"/>
      <c r="V25" s="112"/>
      <c r="W25" s="112"/>
      <c r="X25" s="112"/>
      <c r="Y25" s="112"/>
      <c r="Z25" s="112"/>
      <c r="AA25" s="113"/>
      <c r="AB25" s="113">
        <f t="shared" si="2"/>
        <v>20</v>
      </c>
      <c r="AC25" s="113">
        <v>90</v>
      </c>
      <c r="AD25" s="113"/>
      <c r="AE25" s="113"/>
      <c r="AF25" s="113"/>
      <c r="AG25" s="113"/>
      <c r="AH25" s="113"/>
      <c r="AI25" s="113"/>
    </row>
    <row r="26" spans="1:35" ht="12.75" customHeight="1" x14ac:dyDescent="0.2">
      <c r="A26" s="120"/>
      <c r="B26" s="525"/>
      <c r="C26" s="333">
        <v>30</v>
      </c>
      <c r="D26" s="310">
        <f t="shared" ref="D26:P26" si="5">$M$17*D10</f>
        <v>1084</v>
      </c>
      <c r="E26" s="310">
        <f t="shared" si="5"/>
        <v>1084</v>
      </c>
      <c r="F26" s="310">
        <f t="shared" si="5"/>
        <v>1084</v>
      </c>
      <c r="G26" s="311">
        <f t="shared" si="5"/>
        <v>1211.5294117647059</v>
      </c>
      <c r="H26" s="311">
        <f t="shared" si="5"/>
        <v>1211.5294117647059</v>
      </c>
      <c r="I26" s="311">
        <f t="shared" si="5"/>
        <v>1211.5294117647059</v>
      </c>
      <c r="J26" s="312">
        <f t="shared" si="5"/>
        <v>1275.294117647059</v>
      </c>
      <c r="K26" s="311">
        <f t="shared" si="5"/>
        <v>1211.5294117647059</v>
      </c>
      <c r="L26" s="311">
        <f t="shared" si="5"/>
        <v>1211.5294117647059</v>
      </c>
      <c r="M26" s="311">
        <f t="shared" si="5"/>
        <v>1211.5294117647059</v>
      </c>
      <c r="N26" s="310">
        <f t="shared" si="5"/>
        <v>1084</v>
      </c>
      <c r="O26" s="310">
        <f t="shared" si="5"/>
        <v>1084</v>
      </c>
      <c r="P26" s="348">
        <f t="shared" si="5"/>
        <v>1084</v>
      </c>
      <c r="Q26" s="112"/>
      <c r="R26" s="112"/>
      <c r="S26" s="112"/>
      <c r="T26" s="112"/>
      <c r="U26" s="112"/>
      <c r="V26" s="112"/>
      <c r="W26" s="112"/>
      <c r="X26" s="112"/>
      <c r="Y26" s="112"/>
      <c r="Z26" s="112"/>
      <c r="AA26" s="113"/>
      <c r="AB26" s="113"/>
      <c r="AC26" s="113"/>
      <c r="AD26" s="113"/>
      <c r="AE26" s="113"/>
      <c r="AF26" s="113"/>
      <c r="AG26" s="113"/>
      <c r="AH26" s="113"/>
      <c r="AI26" s="113"/>
    </row>
    <row r="27" spans="1:35" x14ac:dyDescent="0.2">
      <c r="A27" s="120"/>
      <c r="B27" s="525"/>
      <c r="C27" s="333">
        <v>45</v>
      </c>
      <c r="D27" s="313">
        <f t="shared" ref="D27:P27" si="6">$M$17*D11</f>
        <v>956.47058823529414</v>
      </c>
      <c r="E27" s="310">
        <f t="shared" si="6"/>
        <v>1084</v>
      </c>
      <c r="F27" s="310">
        <f t="shared" si="6"/>
        <v>1084</v>
      </c>
      <c r="G27" s="310">
        <f t="shared" si="6"/>
        <v>1084</v>
      </c>
      <c r="H27" s="311">
        <f t="shared" si="6"/>
        <v>1211.5294117647059</v>
      </c>
      <c r="I27" s="311">
        <f t="shared" si="6"/>
        <v>1211.5294117647059</v>
      </c>
      <c r="J27" s="311">
        <f t="shared" si="6"/>
        <v>1211.5294117647059</v>
      </c>
      <c r="K27" s="311">
        <f t="shared" si="6"/>
        <v>1211.5294117647059</v>
      </c>
      <c r="L27" s="311">
        <f t="shared" si="6"/>
        <v>1211.5294117647059</v>
      </c>
      <c r="M27" s="310">
        <f t="shared" si="6"/>
        <v>1084</v>
      </c>
      <c r="N27" s="310">
        <f t="shared" si="6"/>
        <v>1084</v>
      </c>
      <c r="O27" s="310">
        <f t="shared" si="6"/>
        <v>1084</v>
      </c>
      <c r="P27" s="349">
        <f t="shared" si="6"/>
        <v>956.47058823529414</v>
      </c>
      <c r="Q27" s="112"/>
      <c r="R27" s="112"/>
      <c r="S27" s="112"/>
      <c r="T27" s="112"/>
      <c r="U27" s="112"/>
      <c r="V27" s="112"/>
      <c r="W27" s="112"/>
      <c r="X27" s="112"/>
      <c r="Y27" s="112"/>
      <c r="Z27" s="112"/>
      <c r="AA27" s="113"/>
      <c r="AB27" s="113"/>
      <c r="AC27" s="113"/>
      <c r="AD27" s="113"/>
      <c r="AE27" s="113"/>
      <c r="AF27" s="113"/>
      <c r="AG27" s="113"/>
      <c r="AH27" s="113"/>
      <c r="AI27" s="113"/>
    </row>
    <row r="28" spans="1:35" x14ac:dyDescent="0.2">
      <c r="A28" s="120"/>
      <c r="B28" s="525"/>
      <c r="C28" s="333">
        <v>60</v>
      </c>
      <c r="D28" s="313">
        <f t="shared" ref="D28:P28" si="7">$M$17*D12</f>
        <v>956.47058823529414</v>
      </c>
      <c r="E28" s="313">
        <f t="shared" si="7"/>
        <v>956.47058823529414</v>
      </c>
      <c r="F28" s="313">
        <f t="shared" si="7"/>
        <v>956.47058823529414</v>
      </c>
      <c r="G28" s="310">
        <f t="shared" si="7"/>
        <v>1084</v>
      </c>
      <c r="H28" s="310">
        <f t="shared" si="7"/>
        <v>1084</v>
      </c>
      <c r="I28" s="310">
        <f t="shared" si="7"/>
        <v>1084</v>
      </c>
      <c r="J28" s="310">
        <f t="shared" si="7"/>
        <v>1084</v>
      </c>
      <c r="K28" s="310">
        <f t="shared" si="7"/>
        <v>1084</v>
      </c>
      <c r="L28" s="310">
        <f t="shared" si="7"/>
        <v>1084</v>
      </c>
      <c r="M28" s="310">
        <f t="shared" si="7"/>
        <v>1084</v>
      </c>
      <c r="N28" s="313">
        <f t="shared" si="7"/>
        <v>956.47058823529414</v>
      </c>
      <c r="O28" s="313">
        <f t="shared" si="7"/>
        <v>956.47058823529414</v>
      </c>
      <c r="P28" s="349">
        <f t="shared" si="7"/>
        <v>956.47058823529414</v>
      </c>
      <c r="Q28" s="112"/>
      <c r="R28" s="112"/>
      <c r="S28" s="112"/>
      <c r="T28" s="112"/>
      <c r="U28" s="112"/>
      <c r="V28" s="112"/>
      <c r="W28" s="112"/>
      <c r="X28" s="112"/>
      <c r="Y28" s="112"/>
      <c r="Z28" s="112"/>
      <c r="AA28" s="113"/>
      <c r="AB28" s="113"/>
      <c r="AC28" s="113"/>
      <c r="AD28" s="113"/>
      <c r="AE28" s="113"/>
      <c r="AF28" s="113"/>
      <c r="AG28" s="113"/>
      <c r="AH28" s="113"/>
      <c r="AI28" s="113"/>
    </row>
    <row r="29" spans="1:35" x14ac:dyDescent="0.2">
      <c r="A29" s="120"/>
      <c r="B29" s="525"/>
      <c r="C29" s="333">
        <v>75</v>
      </c>
      <c r="D29" s="314">
        <f t="shared" ref="D29:P29" si="8">$M$17*D13</f>
        <v>828.94117647058829</v>
      </c>
      <c r="E29" s="314">
        <f t="shared" si="8"/>
        <v>828.94117647058829</v>
      </c>
      <c r="F29" s="313">
        <f t="shared" si="8"/>
        <v>956.47058823529414</v>
      </c>
      <c r="G29" s="313">
        <f t="shared" si="8"/>
        <v>956.47058823529414</v>
      </c>
      <c r="H29" s="313">
        <f t="shared" si="8"/>
        <v>956.47058823529414</v>
      </c>
      <c r="I29" s="313">
        <f t="shared" si="8"/>
        <v>956.47058823529414</v>
      </c>
      <c r="J29" s="313">
        <f t="shared" si="8"/>
        <v>956.47058823529414</v>
      </c>
      <c r="K29" s="313">
        <f t="shared" si="8"/>
        <v>956.47058823529414</v>
      </c>
      <c r="L29" s="313">
        <f t="shared" si="8"/>
        <v>956.47058823529414</v>
      </c>
      <c r="M29" s="313">
        <f t="shared" si="8"/>
        <v>956.47058823529414</v>
      </c>
      <c r="N29" s="313">
        <f t="shared" si="8"/>
        <v>956.47058823529414</v>
      </c>
      <c r="O29" s="314">
        <f t="shared" si="8"/>
        <v>828.94117647058829</v>
      </c>
      <c r="P29" s="350">
        <f t="shared" si="8"/>
        <v>828.94117647058829</v>
      </c>
      <c r="Q29" s="112"/>
      <c r="R29" s="112"/>
      <c r="S29" s="112"/>
      <c r="T29" s="112"/>
      <c r="U29" s="112"/>
      <c r="V29" s="112"/>
      <c r="W29" s="112"/>
      <c r="X29" s="112"/>
      <c r="Y29" s="112"/>
      <c r="Z29" s="112"/>
      <c r="AA29" s="113"/>
      <c r="AB29" s="113"/>
      <c r="AC29" s="113"/>
      <c r="AD29" s="113"/>
      <c r="AE29" s="113"/>
      <c r="AF29" s="113"/>
      <c r="AG29" s="113"/>
      <c r="AH29" s="113"/>
      <c r="AI29" s="113"/>
    </row>
    <row r="30" spans="1:35" x14ac:dyDescent="0.2">
      <c r="A30" s="120"/>
      <c r="B30" s="526"/>
      <c r="C30" s="334">
        <v>90</v>
      </c>
      <c r="D30" s="351">
        <f t="shared" ref="D30:P30" si="9">$M$17*D14</f>
        <v>701.41176470588243</v>
      </c>
      <c r="E30" s="351">
        <f t="shared" si="9"/>
        <v>701.41176470588243</v>
      </c>
      <c r="F30" s="352">
        <f t="shared" si="9"/>
        <v>828.94117647058829</v>
      </c>
      <c r="G30" s="352">
        <f t="shared" si="9"/>
        <v>828.94117647058829</v>
      </c>
      <c r="H30" s="352">
        <f t="shared" si="9"/>
        <v>828.94117647058829</v>
      </c>
      <c r="I30" s="352">
        <f t="shared" si="9"/>
        <v>828.94117647058829</v>
      </c>
      <c r="J30" s="352">
        <f t="shared" si="9"/>
        <v>828.94117647058829</v>
      </c>
      <c r="K30" s="352">
        <f t="shared" si="9"/>
        <v>828.94117647058829</v>
      </c>
      <c r="L30" s="352">
        <f t="shared" si="9"/>
        <v>828.94117647058829</v>
      </c>
      <c r="M30" s="352">
        <f t="shared" si="9"/>
        <v>828.94117647058829</v>
      </c>
      <c r="N30" s="352">
        <f t="shared" si="9"/>
        <v>828.94117647058829</v>
      </c>
      <c r="O30" s="351">
        <f t="shared" si="9"/>
        <v>701.41176470588243</v>
      </c>
      <c r="P30" s="353">
        <f t="shared" si="9"/>
        <v>701.41176470588243</v>
      </c>
      <c r="Q30" s="112"/>
      <c r="R30" s="112"/>
      <c r="S30" s="112"/>
      <c r="T30" s="112"/>
      <c r="U30" s="112"/>
      <c r="V30" s="112"/>
      <c r="W30" s="112"/>
      <c r="X30" s="112"/>
      <c r="Y30" s="112"/>
      <c r="Z30" s="112"/>
      <c r="AA30" s="113"/>
      <c r="AB30" s="113"/>
      <c r="AC30" s="113"/>
      <c r="AD30" s="113"/>
      <c r="AE30" s="113"/>
      <c r="AF30" s="113"/>
      <c r="AG30" s="113"/>
      <c r="AH30" s="113"/>
      <c r="AI30" s="113"/>
    </row>
    <row r="31" spans="1:35" x14ac:dyDescent="0.2">
      <c r="A31" s="120"/>
      <c r="B31" s="339"/>
      <c r="C31" s="240" t="s">
        <v>2370</v>
      </c>
      <c r="D31" s="240"/>
      <c r="E31" s="240"/>
      <c r="F31" s="240"/>
      <c r="G31" s="240"/>
      <c r="H31" s="240"/>
      <c r="I31" s="240"/>
      <c r="J31" s="240"/>
      <c r="K31" s="240"/>
      <c r="L31" s="240"/>
      <c r="M31" s="240"/>
      <c r="N31" s="240"/>
      <c r="O31" s="240"/>
      <c r="P31" s="355"/>
      <c r="Q31" s="112"/>
      <c r="R31" s="112"/>
      <c r="S31" s="112"/>
      <c r="T31" s="112"/>
      <c r="U31" s="112"/>
      <c r="V31" s="112"/>
      <c r="W31" s="112"/>
      <c r="X31" s="112"/>
      <c r="Y31" s="112"/>
      <c r="Z31" s="112"/>
      <c r="AD31" s="120"/>
      <c r="AE31" s="120"/>
      <c r="AF31" s="120"/>
      <c r="AG31" s="120"/>
    </row>
    <row r="32" spans="1:35" ht="17.25" x14ac:dyDescent="0.25">
      <c r="A32" s="120"/>
      <c r="B32" s="362"/>
      <c r="C32" s="363"/>
      <c r="D32" s="363"/>
      <c r="E32" s="363"/>
      <c r="F32" s="363"/>
      <c r="G32" s="363"/>
      <c r="H32" s="363"/>
      <c r="I32" s="363"/>
      <c r="J32" s="363"/>
      <c r="K32" s="363"/>
      <c r="L32" s="363"/>
      <c r="M32" s="363"/>
      <c r="N32" s="363"/>
      <c r="O32" s="363"/>
      <c r="P32" s="364"/>
      <c r="Q32" s="112"/>
      <c r="R32" s="112"/>
      <c r="S32" s="112"/>
      <c r="T32" s="112"/>
      <c r="U32" s="112"/>
      <c r="V32" s="112"/>
      <c r="W32" s="112"/>
      <c r="X32" s="112"/>
      <c r="Y32" s="112"/>
      <c r="Z32" s="3"/>
      <c r="AD32" s="131"/>
      <c r="AE32" s="120"/>
      <c r="AF32" s="120"/>
      <c r="AG32" s="120"/>
    </row>
    <row r="33" spans="1:33" ht="17.25" x14ac:dyDescent="0.25">
      <c r="A33" s="120"/>
      <c r="B33" s="365"/>
      <c r="C33" s="366"/>
      <c r="D33" s="365"/>
      <c r="E33" s="365"/>
      <c r="F33" s="365"/>
      <c r="G33" s="365"/>
      <c r="H33" s="365"/>
      <c r="I33" s="365"/>
      <c r="J33" s="365"/>
      <c r="K33" s="365"/>
      <c r="L33" s="367"/>
      <c r="M33" s="368"/>
      <c r="N33" s="365"/>
      <c r="O33" s="365"/>
      <c r="P33" s="365"/>
      <c r="Q33" s="112"/>
      <c r="R33" s="112"/>
      <c r="S33" s="112"/>
      <c r="T33" s="112"/>
      <c r="U33" s="112"/>
      <c r="V33" s="112"/>
      <c r="W33" s="112"/>
      <c r="X33" s="112"/>
      <c r="Y33" s="112"/>
      <c r="Z33" s="3"/>
      <c r="AD33" s="131"/>
      <c r="AE33" s="120"/>
      <c r="AF33" s="120"/>
      <c r="AG33" s="120"/>
    </row>
    <row r="34" spans="1:33" x14ac:dyDescent="0.2">
      <c r="A34" s="120"/>
      <c r="B34" s="360"/>
      <c r="C34" s="360"/>
      <c r="D34" s="361"/>
      <c r="E34" s="361"/>
      <c r="F34" s="361"/>
      <c r="G34" s="361"/>
      <c r="H34" s="361"/>
      <c r="I34" s="361"/>
      <c r="J34" s="361"/>
      <c r="K34" s="361"/>
      <c r="L34" s="361"/>
      <c r="M34" s="361"/>
      <c r="N34" s="361"/>
      <c r="O34" s="361"/>
      <c r="P34" s="361"/>
      <c r="Q34" s="112"/>
      <c r="R34" s="112"/>
      <c r="S34" s="112"/>
      <c r="T34" s="112"/>
      <c r="U34" s="112"/>
      <c r="V34" s="112"/>
      <c r="W34" s="112"/>
      <c r="X34" s="112"/>
      <c r="Y34" s="112"/>
      <c r="Z34" s="3"/>
      <c r="AD34" s="120"/>
      <c r="AE34" s="120"/>
      <c r="AF34" s="120"/>
      <c r="AG34" s="120"/>
    </row>
    <row r="35" spans="1:33" ht="18" x14ac:dyDescent="0.2">
      <c r="A35" s="120"/>
      <c r="B35" s="335"/>
      <c r="C35" s="336"/>
      <c r="D35" s="337" t="s">
        <v>2366</v>
      </c>
      <c r="E35" s="337"/>
      <c r="F35" s="337"/>
      <c r="G35" s="337"/>
      <c r="H35" s="337"/>
      <c r="I35" s="337"/>
      <c r="J35" s="337" t="s">
        <v>2104</v>
      </c>
      <c r="K35" s="337"/>
      <c r="L35" s="337"/>
      <c r="M35" s="337"/>
      <c r="N35" s="337"/>
      <c r="O35" s="337"/>
      <c r="P35" s="338" t="s">
        <v>2367</v>
      </c>
      <c r="Q35" s="112"/>
      <c r="R35" s="112"/>
      <c r="S35" s="112"/>
      <c r="T35" s="112"/>
      <c r="U35" s="112"/>
      <c r="V35" s="112"/>
      <c r="W35" s="112"/>
      <c r="X35" s="112"/>
      <c r="Y35" s="112"/>
      <c r="Z35" s="3"/>
      <c r="AD35" s="120"/>
      <c r="AE35" s="120"/>
      <c r="AF35" s="120"/>
      <c r="AG35" s="120"/>
    </row>
    <row r="36" spans="1:33" x14ac:dyDescent="0.2">
      <c r="A36" s="120"/>
      <c r="B36" s="339"/>
      <c r="C36" s="299"/>
      <c r="D36" s="300">
        <v>-90</v>
      </c>
      <c r="E36" s="300">
        <v>-75</v>
      </c>
      <c r="F36" s="300">
        <v>-60</v>
      </c>
      <c r="G36" s="300">
        <v>-45</v>
      </c>
      <c r="H36" s="300">
        <v>-30</v>
      </c>
      <c r="I36" s="300">
        <v>-15</v>
      </c>
      <c r="J36" s="300">
        <v>0</v>
      </c>
      <c r="K36" s="300">
        <v>15</v>
      </c>
      <c r="L36" s="300">
        <v>30</v>
      </c>
      <c r="M36" s="300">
        <v>45</v>
      </c>
      <c r="N36" s="300">
        <v>60</v>
      </c>
      <c r="O36" s="300">
        <v>75</v>
      </c>
      <c r="P36" s="340">
        <v>90</v>
      </c>
      <c r="Q36" s="112"/>
      <c r="R36" s="112"/>
      <c r="S36" s="112"/>
      <c r="T36" s="112"/>
      <c r="U36" s="112"/>
      <c r="V36" s="112"/>
      <c r="W36" s="112"/>
      <c r="X36" s="112"/>
      <c r="Y36" s="112"/>
      <c r="Z36" s="3"/>
      <c r="AD36" s="120"/>
      <c r="AE36" s="120"/>
      <c r="AF36" s="120"/>
      <c r="AG36" s="120"/>
    </row>
    <row r="37" spans="1:33" x14ac:dyDescent="0.2">
      <c r="A37" s="120"/>
      <c r="B37" s="339"/>
      <c r="C37" s="301"/>
      <c r="D37" s="302">
        <v>1</v>
      </c>
      <c r="E37" s="302">
        <v>2</v>
      </c>
      <c r="F37" s="302">
        <v>3</v>
      </c>
      <c r="G37" s="302">
        <v>4</v>
      </c>
      <c r="H37" s="302">
        <v>5</v>
      </c>
      <c r="I37" s="302">
        <v>6</v>
      </c>
      <c r="J37" s="302">
        <v>7</v>
      </c>
      <c r="K37" s="302">
        <v>8</v>
      </c>
      <c r="L37" s="302">
        <v>9</v>
      </c>
      <c r="M37" s="302">
        <v>10</v>
      </c>
      <c r="N37" s="302">
        <v>11</v>
      </c>
      <c r="O37" s="302">
        <v>12</v>
      </c>
      <c r="P37" s="341">
        <v>13</v>
      </c>
      <c r="Q37" s="112"/>
      <c r="R37" s="112"/>
      <c r="S37" s="112"/>
      <c r="T37" s="112"/>
      <c r="U37" s="112"/>
      <c r="V37" s="112"/>
      <c r="W37" s="112"/>
      <c r="X37" s="112"/>
      <c r="Y37" s="112"/>
      <c r="Z37" s="3"/>
      <c r="AD37" s="120"/>
      <c r="AE37" s="120"/>
      <c r="AF37" s="120"/>
      <c r="AG37" s="120"/>
    </row>
    <row r="38" spans="1:33" ht="12.75" customHeight="1" x14ac:dyDescent="0.2">
      <c r="A38" s="120"/>
      <c r="B38" s="524" t="s">
        <v>2103</v>
      </c>
      <c r="C38" s="333">
        <v>0</v>
      </c>
      <c r="D38" s="310" t="str">
        <f t="shared" ref="D38:P38" si="10">IF($F$51=0,D24,"")</f>
        <v/>
      </c>
      <c r="E38" s="310" t="str">
        <f t="shared" si="10"/>
        <v/>
      </c>
      <c r="F38" s="310" t="str">
        <f t="shared" si="10"/>
        <v/>
      </c>
      <c r="G38" s="310" t="str">
        <f t="shared" si="10"/>
        <v/>
      </c>
      <c r="H38" s="310" t="str">
        <f t="shared" si="10"/>
        <v/>
      </c>
      <c r="I38" s="310" t="str">
        <f t="shared" si="10"/>
        <v/>
      </c>
      <c r="J38" s="310" t="str">
        <f t="shared" si="10"/>
        <v/>
      </c>
      <c r="K38" s="310" t="str">
        <f t="shared" si="10"/>
        <v/>
      </c>
      <c r="L38" s="310" t="str">
        <f t="shared" si="10"/>
        <v/>
      </c>
      <c r="M38" s="310" t="str">
        <f t="shared" si="10"/>
        <v/>
      </c>
      <c r="N38" s="310" t="str">
        <f t="shared" si="10"/>
        <v/>
      </c>
      <c r="O38" s="310" t="str">
        <f t="shared" si="10"/>
        <v/>
      </c>
      <c r="P38" s="348" t="str">
        <f t="shared" si="10"/>
        <v/>
      </c>
      <c r="Q38" s="112"/>
      <c r="R38" s="112"/>
      <c r="S38" s="112"/>
      <c r="T38" s="112"/>
      <c r="U38" s="112"/>
      <c r="V38" s="112"/>
      <c r="W38" s="112"/>
      <c r="X38" s="112"/>
      <c r="Y38" s="112"/>
      <c r="Z38" s="3"/>
      <c r="AD38" s="120"/>
      <c r="AE38" s="120"/>
      <c r="AF38" s="120"/>
      <c r="AG38" s="120"/>
    </row>
    <row r="39" spans="1:33" x14ac:dyDescent="0.2">
      <c r="A39" s="120"/>
      <c r="B39" s="525"/>
      <c r="C39" s="333">
        <v>15</v>
      </c>
      <c r="D39" s="310" t="str">
        <f t="shared" ref="D39:P39" si="11">IF($F$51=15,D25,"")</f>
        <v/>
      </c>
      <c r="E39" s="310" t="str">
        <f t="shared" si="11"/>
        <v/>
      </c>
      <c r="F39" s="310" t="str">
        <f t="shared" si="11"/>
        <v/>
      </c>
      <c r="G39" s="311" t="str">
        <f t="shared" si="11"/>
        <v/>
      </c>
      <c r="H39" s="311" t="str">
        <f t="shared" si="11"/>
        <v/>
      </c>
      <c r="I39" s="311" t="str">
        <f t="shared" si="11"/>
        <v/>
      </c>
      <c r="J39" s="311" t="str">
        <f t="shared" si="11"/>
        <v/>
      </c>
      <c r="K39" s="311" t="str">
        <f t="shared" si="11"/>
        <v/>
      </c>
      <c r="L39" s="311" t="str">
        <f t="shared" si="11"/>
        <v/>
      </c>
      <c r="M39" s="311" t="str">
        <f t="shared" si="11"/>
        <v/>
      </c>
      <c r="N39" s="310" t="str">
        <f t="shared" si="11"/>
        <v/>
      </c>
      <c r="O39" s="310" t="str">
        <f t="shared" si="11"/>
        <v/>
      </c>
      <c r="P39" s="348" t="str">
        <f t="shared" si="11"/>
        <v/>
      </c>
      <c r="Q39" s="112"/>
      <c r="R39" s="112"/>
      <c r="S39" s="112"/>
      <c r="T39" s="112"/>
      <c r="U39" s="112"/>
      <c r="V39" s="112"/>
      <c r="W39" s="112"/>
      <c r="X39" s="112"/>
      <c r="Y39" s="112"/>
      <c r="Z39" s="3"/>
      <c r="AD39" s="120"/>
      <c r="AE39" s="120"/>
      <c r="AF39" s="120"/>
      <c r="AG39" s="120"/>
    </row>
    <row r="40" spans="1:33" ht="12.75" customHeight="1" x14ac:dyDescent="0.2">
      <c r="A40" s="120"/>
      <c r="B40" s="525"/>
      <c r="C40" s="333">
        <v>30</v>
      </c>
      <c r="D40" s="310">
        <f t="shared" ref="D40:P40" si="12">IF($F$51=30,D26,"")</f>
        <v>1084</v>
      </c>
      <c r="E40" s="310">
        <f t="shared" si="12"/>
        <v>1084</v>
      </c>
      <c r="F40" s="310">
        <f t="shared" si="12"/>
        <v>1084</v>
      </c>
      <c r="G40" s="311">
        <f t="shared" si="12"/>
        <v>1211.5294117647059</v>
      </c>
      <c r="H40" s="311">
        <f t="shared" si="12"/>
        <v>1211.5294117647059</v>
      </c>
      <c r="I40" s="311">
        <f t="shared" si="12"/>
        <v>1211.5294117647059</v>
      </c>
      <c r="J40" s="312">
        <f t="shared" si="12"/>
        <v>1275.294117647059</v>
      </c>
      <c r="K40" s="311">
        <f t="shared" si="12"/>
        <v>1211.5294117647059</v>
      </c>
      <c r="L40" s="311">
        <f t="shared" si="12"/>
        <v>1211.5294117647059</v>
      </c>
      <c r="M40" s="311">
        <f t="shared" si="12"/>
        <v>1211.5294117647059</v>
      </c>
      <c r="N40" s="310">
        <f t="shared" si="12"/>
        <v>1084</v>
      </c>
      <c r="O40" s="310">
        <f t="shared" si="12"/>
        <v>1084</v>
      </c>
      <c r="P40" s="348">
        <f t="shared" si="12"/>
        <v>1084</v>
      </c>
      <c r="Q40" s="112"/>
      <c r="R40" s="112"/>
      <c r="S40" s="112"/>
      <c r="T40" s="112"/>
      <c r="U40" s="112"/>
      <c r="V40" s="112"/>
      <c r="W40" s="112"/>
      <c r="X40" s="112"/>
      <c r="Y40" s="112"/>
      <c r="Z40" s="3"/>
      <c r="AD40" s="120"/>
      <c r="AE40" s="120"/>
      <c r="AF40" s="120"/>
      <c r="AG40" s="120"/>
    </row>
    <row r="41" spans="1:33" x14ac:dyDescent="0.2">
      <c r="A41" s="120"/>
      <c r="B41" s="525"/>
      <c r="C41" s="333">
        <v>45</v>
      </c>
      <c r="D41" s="313" t="str">
        <f t="shared" ref="D41:P41" si="13">IF($F$51=45,D27,"")</f>
        <v/>
      </c>
      <c r="E41" s="310" t="str">
        <f t="shared" si="13"/>
        <v/>
      </c>
      <c r="F41" s="310" t="str">
        <f t="shared" si="13"/>
        <v/>
      </c>
      <c r="G41" s="310" t="str">
        <f t="shared" si="13"/>
        <v/>
      </c>
      <c r="H41" s="311" t="str">
        <f t="shared" si="13"/>
        <v/>
      </c>
      <c r="I41" s="311" t="str">
        <f t="shared" si="13"/>
        <v/>
      </c>
      <c r="J41" s="311" t="str">
        <f t="shared" si="13"/>
        <v/>
      </c>
      <c r="K41" s="311" t="str">
        <f t="shared" si="13"/>
        <v/>
      </c>
      <c r="L41" s="311" t="str">
        <f t="shared" si="13"/>
        <v/>
      </c>
      <c r="M41" s="310" t="str">
        <f t="shared" si="13"/>
        <v/>
      </c>
      <c r="N41" s="310" t="str">
        <f t="shared" si="13"/>
        <v/>
      </c>
      <c r="O41" s="310" t="str">
        <f t="shared" si="13"/>
        <v/>
      </c>
      <c r="P41" s="349" t="str">
        <f t="shared" si="13"/>
        <v/>
      </c>
      <c r="Q41" s="112"/>
      <c r="R41" s="112"/>
      <c r="S41" s="112"/>
      <c r="T41" s="112"/>
      <c r="U41" s="112"/>
      <c r="V41" s="112"/>
      <c r="W41" s="112"/>
      <c r="X41" s="112"/>
      <c r="Y41" s="112"/>
      <c r="Z41" s="3"/>
      <c r="AD41" s="120"/>
      <c r="AE41" s="120"/>
      <c r="AF41" s="120"/>
      <c r="AG41" s="120"/>
    </row>
    <row r="42" spans="1:33" x14ac:dyDescent="0.2">
      <c r="A42" s="120"/>
      <c r="B42" s="525"/>
      <c r="C42" s="333">
        <v>60</v>
      </c>
      <c r="D42" s="313" t="str">
        <f t="shared" ref="D42:P42" si="14">IF($F$51=60,D28,"")</f>
        <v/>
      </c>
      <c r="E42" s="313" t="str">
        <f t="shared" si="14"/>
        <v/>
      </c>
      <c r="F42" s="313" t="str">
        <f t="shared" si="14"/>
        <v/>
      </c>
      <c r="G42" s="310" t="str">
        <f t="shared" si="14"/>
        <v/>
      </c>
      <c r="H42" s="310" t="str">
        <f t="shared" si="14"/>
        <v/>
      </c>
      <c r="I42" s="310" t="str">
        <f t="shared" si="14"/>
        <v/>
      </c>
      <c r="J42" s="310" t="str">
        <f t="shared" si="14"/>
        <v/>
      </c>
      <c r="K42" s="310" t="str">
        <f t="shared" si="14"/>
        <v/>
      </c>
      <c r="L42" s="310" t="str">
        <f t="shared" si="14"/>
        <v/>
      </c>
      <c r="M42" s="310" t="str">
        <f t="shared" si="14"/>
        <v/>
      </c>
      <c r="N42" s="313" t="str">
        <f t="shared" si="14"/>
        <v/>
      </c>
      <c r="O42" s="313" t="str">
        <f t="shared" si="14"/>
        <v/>
      </c>
      <c r="P42" s="349" t="str">
        <f t="shared" si="14"/>
        <v/>
      </c>
      <c r="Q42" s="112"/>
      <c r="R42" s="112"/>
      <c r="S42" s="112"/>
      <c r="T42" s="112"/>
      <c r="U42" s="112"/>
      <c r="V42" s="112"/>
      <c r="W42" s="112"/>
      <c r="X42" s="112"/>
      <c r="Y42" s="112"/>
      <c r="Z42" s="3"/>
      <c r="AD42" s="120"/>
      <c r="AE42" s="120"/>
      <c r="AF42" s="120"/>
      <c r="AG42" s="120"/>
    </row>
    <row r="43" spans="1:33" x14ac:dyDescent="0.2">
      <c r="A43" s="120"/>
      <c r="B43" s="525"/>
      <c r="C43" s="333">
        <v>75</v>
      </c>
      <c r="D43" s="314" t="str">
        <f t="shared" ref="D43:P43" si="15">IF($F$51=75,D29,"")</f>
        <v/>
      </c>
      <c r="E43" s="314" t="str">
        <f t="shared" si="15"/>
        <v/>
      </c>
      <c r="F43" s="313" t="str">
        <f t="shared" si="15"/>
        <v/>
      </c>
      <c r="G43" s="313" t="str">
        <f t="shared" si="15"/>
        <v/>
      </c>
      <c r="H43" s="313" t="str">
        <f t="shared" si="15"/>
        <v/>
      </c>
      <c r="I43" s="313" t="str">
        <f t="shared" si="15"/>
        <v/>
      </c>
      <c r="J43" s="313" t="str">
        <f t="shared" si="15"/>
        <v/>
      </c>
      <c r="K43" s="313" t="str">
        <f t="shared" si="15"/>
        <v/>
      </c>
      <c r="L43" s="313" t="str">
        <f t="shared" si="15"/>
        <v/>
      </c>
      <c r="M43" s="313" t="str">
        <f t="shared" si="15"/>
        <v/>
      </c>
      <c r="N43" s="313" t="str">
        <f t="shared" si="15"/>
        <v/>
      </c>
      <c r="O43" s="314" t="str">
        <f t="shared" si="15"/>
        <v/>
      </c>
      <c r="P43" s="350" t="str">
        <f t="shared" si="15"/>
        <v/>
      </c>
      <c r="Q43" s="112"/>
      <c r="R43" s="112"/>
      <c r="S43" s="112"/>
      <c r="T43" s="112"/>
      <c r="U43" s="112"/>
      <c r="V43" s="112"/>
      <c r="W43" s="112"/>
      <c r="X43" s="112"/>
      <c r="Y43" s="112"/>
      <c r="Z43" s="3"/>
    </row>
    <row r="44" spans="1:33" x14ac:dyDescent="0.2">
      <c r="A44" s="120"/>
      <c r="B44" s="526"/>
      <c r="C44" s="334">
        <v>90</v>
      </c>
      <c r="D44" s="351" t="str">
        <f t="shared" ref="D44:P44" si="16">IF($F$51=90,D30,"")</f>
        <v/>
      </c>
      <c r="E44" s="351" t="str">
        <f t="shared" si="16"/>
        <v/>
      </c>
      <c r="F44" s="352" t="str">
        <f t="shared" si="16"/>
        <v/>
      </c>
      <c r="G44" s="352" t="str">
        <f t="shared" si="16"/>
        <v/>
      </c>
      <c r="H44" s="352" t="str">
        <f t="shared" si="16"/>
        <v/>
      </c>
      <c r="I44" s="352" t="str">
        <f t="shared" si="16"/>
        <v/>
      </c>
      <c r="J44" s="352" t="str">
        <f t="shared" si="16"/>
        <v/>
      </c>
      <c r="K44" s="352" t="str">
        <f t="shared" si="16"/>
        <v/>
      </c>
      <c r="L44" s="352" t="str">
        <f t="shared" si="16"/>
        <v/>
      </c>
      <c r="M44" s="352" t="str">
        <f t="shared" si="16"/>
        <v/>
      </c>
      <c r="N44" s="352" t="str">
        <f t="shared" si="16"/>
        <v/>
      </c>
      <c r="O44" s="351" t="str">
        <f t="shared" si="16"/>
        <v/>
      </c>
      <c r="P44" s="353" t="str">
        <f t="shared" si="16"/>
        <v/>
      </c>
      <c r="Q44" s="112"/>
      <c r="R44" s="112"/>
      <c r="S44" s="112"/>
      <c r="T44" s="112"/>
      <c r="U44" s="112"/>
      <c r="V44" s="112"/>
      <c r="W44" s="112"/>
      <c r="X44" s="112"/>
      <c r="Y44" s="112"/>
      <c r="Z44" s="3"/>
    </row>
    <row r="45" spans="1:33" x14ac:dyDescent="0.2">
      <c r="A45" s="120"/>
      <c r="B45" s="369"/>
      <c r="C45" s="370" t="s">
        <v>2370</v>
      </c>
      <c r="D45" s="370"/>
      <c r="E45" s="370"/>
      <c r="F45" s="370"/>
      <c r="G45" s="370"/>
      <c r="H45" s="370"/>
      <c r="I45" s="370"/>
      <c r="J45" s="370"/>
      <c r="K45" s="370"/>
      <c r="L45" s="370"/>
      <c r="M45" s="370"/>
      <c r="N45" s="370"/>
      <c r="O45" s="370"/>
      <c r="P45" s="371"/>
      <c r="Q45" s="112"/>
      <c r="R45" s="112"/>
      <c r="S45" s="112"/>
      <c r="T45" s="112"/>
      <c r="U45" s="112"/>
      <c r="V45" s="112"/>
      <c r="W45" s="112"/>
      <c r="X45" s="112"/>
      <c r="Y45" s="112"/>
      <c r="Z45" s="3"/>
    </row>
    <row r="46" spans="1:33" x14ac:dyDescent="0.2">
      <c r="A46" s="120"/>
      <c r="B46" s="339"/>
      <c r="C46" s="240"/>
      <c r="D46" s="240"/>
      <c r="E46" s="240"/>
      <c r="F46" s="240"/>
      <c r="G46" s="240"/>
      <c r="H46" s="240"/>
      <c r="I46" s="240"/>
      <c r="J46" s="240"/>
      <c r="K46" s="240"/>
      <c r="L46" s="240"/>
      <c r="M46" s="240"/>
      <c r="N46" s="240"/>
      <c r="O46" s="240"/>
      <c r="P46" s="355"/>
      <c r="Q46" s="112"/>
      <c r="R46" s="112"/>
      <c r="S46" s="112"/>
      <c r="T46" s="112"/>
      <c r="U46" s="112"/>
      <c r="V46" s="112"/>
      <c r="W46" s="112"/>
      <c r="X46" s="112"/>
      <c r="Y46" s="112"/>
      <c r="Z46" s="3"/>
    </row>
    <row r="47" spans="1:33" x14ac:dyDescent="0.2">
      <c r="A47" s="120"/>
      <c r="B47" s="372" t="s">
        <v>857</v>
      </c>
      <c r="C47" s="109"/>
      <c r="D47" s="294" t="str">
        <f>IF($F$50=-90,SUM(D38:D44),"")</f>
        <v/>
      </c>
      <c r="E47" s="294" t="str">
        <f>IF($F$50=-75,SUM(E38:E44),"")</f>
        <v/>
      </c>
      <c r="F47" s="294" t="str">
        <f>IF($F$50=-60,SUM(F38:F44),"")</f>
        <v/>
      </c>
      <c r="G47" s="294">
        <f>IF($F$50=-45,SUM(G38:G44),"")</f>
        <v>1211.5294117647059</v>
      </c>
      <c r="H47" s="294" t="str">
        <f>IF($F$50=-30,SUM(H38:H44),"")</f>
        <v/>
      </c>
      <c r="I47" s="294" t="str">
        <f>IF($F$50=-15,SUM(I38:I44),"")</f>
        <v/>
      </c>
      <c r="J47" s="294" t="str">
        <f>IF($F$50=0,SUM(J38:J44),"")</f>
        <v/>
      </c>
      <c r="K47" s="294" t="str">
        <f>IF($F$50=15,SUM(K38:K44),"")</f>
        <v/>
      </c>
      <c r="L47" s="294" t="str">
        <f>IF($F$50=30,SUM(L38:L44),"")</f>
        <v/>
      </c>
      <c r="M47" s="294" t="str">
        <f>IF($F$50=45,SUM(M38:M44),"")</f>
        <v/>
      </c>
      <c r="N47" s="294" t="str">
        <f>IF($F$50=60,SUM(N38:N44),"")</f>
        <v/>
      </c>
      <c r="O47" s="294" t="str">
        <f>IF($F$50=75,SUM(O38:O44),"")</f>
        <v/>
      </c>
      <c r="P47" s="373" t="str">
        <f>IF($F$50=90,SUM(P38:P44),"")</f>
        <v/>
      </c>
      <c r="Q47" s="112"/>
      <c r="R47" s="112"/>
      <c r="S47" s="112"/>
      <c r="T47" s="112"/>
      <c r="U47" s="112"/>
      <c r="V47" s="112"/>
      <c r="W47" s="112"/>
      <c r="X47" s="112"/>
      <c r="Y47" s="112"/>
      <c r="Z47" s="3"/>
    </row>
    <row r="48" spans="1:33" x14ac:dyDescent="0.2">
      <c r="A48" s="120"/>
      <c r="B48" s="374"/>
      <c r="C48" s="109"/>
      <c r="D48" s="109"/>
      <c r="E48" s="295"/>
      <c r="F48" s="109"/>
      <c r="G48" s="109"/>
      <c r="H48" s="109"/>
      <c r="I48" s="109"/>
      <c r="J48" s="109"/>
      <c r="K48" s="109"/>
      <c r="L48" s="109"/>
      <c r="M48" s="109"/>
      <c r="N48" s="109"/>
      <c r="O48" s="109"/>
      <c r="P48" s="375"/>
      <c r="Q48" s="112"/>
      <c r="R48" s="112"/>
      <c r="S48" s="112"/>
      <c r="T48" s="112"/>
      <c r="U48" s="112"/>
      <c r="V48" s="112"/>
      <c r="W48" s="112"/>
      <c r="X48" s="112"/>
      <c r="Y48" s="112"/>
      <c r="Z48" s="3"/>
    </row>
    <row r="49" spans="1:26" x14ac:dyDescent="0.2">
      <c r="A49" s="120"/>
      <c r="B49" s="374"/>
      <c r="C49" s="296" t="s">
        <v>858</v>
      </c>
      <c r="D49" s="109"/>
      <c r="E49" s="109"/>
      <c r="F49" s="109"/>
      <c r="G49" s="109"/>
      <c r="H49" s="109"/>
      <c r="I49" s="109"/>
      <c r="J49" s="109"/>
      <c r="K49" s="109"/>
      <c r="L49" s="109"/>
      <c r="M49" s="109"/>
      <c r="N49" s="109"/>
      <c r="O49" s="109"/>
      <c r="P49" s="375"/>
      <c r="Q49" s="112"/>
      <c r="R49" s="112"/>
      <c r="S49" s="112"/>
      <c r="T49" s="112"/>
      <c r="U49" s="112"/>
      <c r="V49" s="112"/>
      <c r="W49" s="112"/>
      <c r="X49" s="112"/>
      <c r="Y49" s="112"/>
      <c r="Z49" s="3"/>
    </row>
    <row r="50" spans="1:26" x14ac:dyDescent="0.2">
      <c r="A50" s="120"/>
      <c r="B50" s="374"/>
      <c r="C50" s="109"/>
      <c r="D50" s="109"/>
      <c r="E50" s="297" t="s">
        <v>2414</v>
      </c>
      <c r="F50" s="298">
        <f>Eingabe!$H$23</f>
        <v>-45</v>
      </c>
      <c r="G50" s="109" t="s">
        <v>2417</v>
      </c>
      <c r="H50" s="109"/>
      <c r="I50" s="109"/>
      <c r="J50" s="109"/>
      <c r="K50" s="109"/>
      <c r="L50" s="109"/>
      <c r="M50" s="109"/>
      <c r="N50" s="109"/>
      <c r="O50" s="109"/>
      <c r="P50" s="375"/>
      <c r="Q50" s="112"/>
      <c r="R50" s="112"/>
      <c r="S50" s="112"/>
      <c r="T50" s="112"/>
      <c r="U50" s="112"/>
      <c r="V50" s="112"/>
      <c r="W50" s="112"/>
      <c r="X50" s="112"/>
      <c r="Y50" s="112"/>
      <c r="Z50" s="3"/>
    </row>
    <row r="51" spans="1:26" x14ac:dyDescent="0.2">
      <c r="A51" s="120"/>
      <c r="B51" s="356"/>
      <c r="C51" s="357"/>
      <c r="D51" s="357"/>
      <c r="E51" s="376" t="s">
        <v>285</v>
      </c>
      <c r="F51" s="357">
        <f>Eingabe!$H$29</f>
        <v>30</v>
      </c>
      <c r="G51" s="357" t="s">
        <v>2417</v>
      </c>
      <c r="H51" s="377">
        <f>SUM(D47:P47)</f>
        <v>1211.5294117647059</v>
      </c>
      <c r="I51" s="378" t="s">
        <v>97</v>
      </c>
      <c r="J51" s="378"/>
      <c r="K51" s="357"/>
      <c r="L51" s="357"/>
      <c r="M51" s="357"/>
      <c r="N51" s="357"/>
      <c r="O51" s="357"/>
      <c r="P51" s="379"/>
      <c r="Q51" s="112"/>
      <c r="R51" s="112"/>
      <c r="S51" s="112"/>
      <c r="T51" s="112"/>
      <c r="U51" s="112"/>
      <c r="V51" s="112"/>
      <c r="W51" s="112"/>
      <c r="X51" s="112"/>
      <c r="Y51" s="112"/>
      <c r="Z51" s="3"/>
    </row>
    <row r="52" spans="1:26" x14ac:dyDescent="0.2">
      <c r="B52" s="3"/>
      <c r="C52" s="3"/>
      <c r="D52" s="3"/>
      <c r="E52" s="3"/>
      <c r="F52" s="3"/>
      <c r="G52" s="3"/>
      <c r="H52" s="3"/>
      <c r="I52" s="3"/>
      <c r="J52" s="3"/>
      <c r="K52" s="3"/>
      <c r="L52" s="3"/>
      <c r="M52" s="3"/>
      <c r="N52" s="3"/>
      <c r="O52" s="3"/>
      <c r="P52" s="3"/>
      <c r="Q52" s="3"/>
      <c r="R52" s="3"/>
      <c r="S52" s="3"/>
      <c r="T52" s="3"/>
      <c r="U52" s="3"/>
      <c r="V52" s="3"/>
      <c r="W52" s="3"/>
      <c r="X52" s="3"/>
      <c r="Y52" s="3"/>
      <c r="Z52" s="3"/>
    </row>
  </sheetData>
  <sheetProtection algorithmName="SHA-512" hashValue="L0CyyaTcHvJ+2IB/rv/L/CB+oCXYVk8Kh4DvbdtCa5sv1Hvz3CY3lkYYCW5Tzhy3OMAH2S/qBK4CONHzNmpASw==" saltValue="YtCrWpQUYhcvrHyqF+oJTw==" spinCount="100000" sheet="1" selectLockedCells="1"/>
  <mergeCells count="3">
    <mergeCell ref="B8:B14"/>
    <mergeCell ref="B24:B30"/>
    <mergeCell ref="B38:B44"/>
  </mergeCells>
  <phoneticPr fontId="0" type="noConversion"/>
  <printOptions horizontalCentered="1"/>
  <pageMargins left="0.78740157480314965" right="0.78740157480314965" top="0.59055118110236227" bottom="0.59055118110236227" header="0.51181102362204722" footer="0.51181102362204722"/>
  <pageSetup paperSize="9" scale="50" orientation="portrait" r:id="rId1"/>
  <headerFooter alignWithMargins="0">
    <oddFooter>&amp;R_x000D_&amp;1#&amp;"Arial"&amp;7&amp;K000000 Klassifizierung: Vertraulich/Confidential</oddFooter>
  </headerFooter>
  <ignoredErrors>
    <ignoredError sqref="D40 E47" formula="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3">
    <tabColor indexed="22"/>
  </sheetPr>
  <dimension ref="A1:AP100"/>
  <sheetViews>
    <sheetView showGridLines="0" showRowColHeaders="0" zoomScale="80" zoomScaleNormal="80" workbookViewId="0">
      <selection activeCell="Q32" sqref="Q32"/>
    </sheetView>
  </sheetViews>
  <sheetFormatPr baseColWidth="10" defaultColWidth="11.28515625" defaultRowHeight="12.75" x14ac:dyDescent="0.2"/>
  <cols>
    <col min="1" max="1" width="0.7109375" style="1" customWidth="1"/>
    <col min="2" max="2" width="11.7109375" style="1" customWidth="1"/>
    <col min="3" max="3" width="13.140625" style="1" bestFit="1" customWidth="1"/>
    <col min="4" max="4" width="13.28515625" style="1" bestFit="1" customWidth="1"/>
    <col min="5" max="5" width="12.28515625" style="7" bestFit="1" customWidth="1"/>
    <col min="6" max="6" width="11.140625" style="1" customWidth="1"/>
    <col min="7" max="7" width="9.140625" style="1" bestFit="1" customWidth="1"/>
    <col min="8" max="8" width="13.140625" style="7" bestFit="1" customWidth="1"/>
    <col min="9" max="9" width="11.28515625" style="7"/>
    <col min="10" max="10" width="11" style="7" bestFit="1" customWidth="1"/>
    <col min="11" max="12" width="11" style="1" bestFit="1" customWidth="1"/>
    <col min="13" max="13" width="9.28515625" style="1" bestFit="1" customWidth="1"/>
    <col min="14" max="14" width="3.28515625" style="112" bestFit="1" customWidth="1"/>
    <col min="15" max="15" width="9.140625" style="112" customWidth="1"/>
    <col min="16" max="16" width="12.85546875" style="112" customWidth="1"/>
    <col min="17" max="17" width="11.28515625" style="112" customWidth="1"/>
    <col min="18" max="18" width="10.28515625" style="112" customWidth="1"/>
    <col min="19" max="19" width="12" style="112" customWidth="1"/>
    <col min="20" max="20" width="10.85546875" style="112" customWidth="1"/>
    <col min="21" max="21" width="11.28515625" style="112" customWidth="1"/>
    <col min="22" max="24" width="11.28515625" style="112"/>
    <col min="25" max="25" width="12.7109375" style="1" bestFit="1" customWidth="1"/>
    <col min="26" max="27" width="11.28515625" style="1"/>
    <col min="28" max="28" width="12.7109375" style="1" bestFit="1" customWidth="1"/>
    <col min="29" max="16384" width="11.28515625" style="1"/>
  </cols>
  <sheetData>
    <row r="1" spans="1:42" x14ac:dyDescent="0.2">
      <c r="A1" s="3"/>
      <c r="N1" s="118"/>
      <c r="O1" s="118"/>
      <c r="P1" s="118"/>
      <c r="Q1" s="118"/>
      <c r="R1" s="118"/>
      <c r="S1" s="118"/>
      <c r="T1" s="118"/>
      <c r="U1" s="118"/>
      <c r="V1" s="118"/>
      <c r="W1" s="118"/>
      <c r="X1" s="118"/>
      <c r="Y1" s="100"/>
      <c r="Z1" s="100"/>
      <c r="AA1" s="100"/>
      <c r="AB1" s="100"/>
      <c r="AC1" s="100"/>
      <c r="AD1" s="100"/>
      <c r="AE1" s="100"/>
      <c r="AF1" s="100"/>
      <c r="AG1" s="100"/>
      <c r="AH1" s="100"/>
      <c r="AI1" s="100"/>
      <c r="AJ1" s="100"/>
      <c r="AK1" s="100"/>
      <c r="AL1" s="100"/>
      <c r="AM1" s="409"/>
    </row>
    <row r="2" spans="1:42" x14ac:dyDescent="0.2">
      <c r="A2" s="3"/>
      <c r="Y2" s="112"/>
      <c r="Z2" s="112"/>
      <c r="AA2" s="112"/>
      <c r="AB2" s="112"/>
      <c r="AC2" s="112"/>
      <c r="AD2" s="112"/>
      <c r="AE2" s="112"/>
      <c r="AF2" s="112"/>
      <c r="AG2" s="112"/>
      <c r="AH2" s="112"/>
      <c r="AI2" s="112"/>
      <c r="AJ2" s="293"/>
      <c r="AK2" s="293"/>
      <c r="AL2" s="293"/>
      <c r="AM2" s="410"/>
      <c r="AN2" s="410"/>
      <c r="AO2" s="410"/>
      <c r="AP2" s="410"/>
    </row>
    <row r="3" spans="1:42" x14ac:dyDescent="0.2">
      <c r="A3" s="3"/>
      <c r="B3" s="3"/>
      <c r="C3" s="3"/>
      <c r="D3" s="3"/>
      <c r="E3" s="15"/>
      <c r="F3" s="3"/>
      <c r="G3" s="3"/>
      <c r="H3" s="15"/>
      <c r="I3" s="15"/>
      <c r="J3" s="15"/>
      <c r="K3" s="3"/>
      <c r="L3" s="3"/>
      <c r="M3" s="3"/>
      <c r="O3" s="118"/>
      <c r="P3" s="118"/>
      <c r="Q3" s="118"/>
      <c r="R3" s="118"/>
      <c r="S3" s="118"/>
      <c r="T3" s="118"/>
      <c r="U3" s="118"/>
      <c r="V3" s="118"/>
      <c r="W3" s="118"/>
      <c r="X3" s="118"/>
      <c r="Y3" s="118"/>
      <c r="Z3" s="118"/>
      <c r="AA3" s="118"/>
      <c r="AB3" s="118"/>
      <c r="AC3" s="118"/>
      <c r="AD3" s="118"/>
      <c r="AE3" s="118"/>
      <c r="AF3" s="118"/>
      <c r="AG3" s="118"/>
      <c r="AH3" s="118"/>
      <c r="AI3" s="118"/>
      <c r="AJ3" s="100"/>
      <c r="AK3" s="100"/>
      <c r="AL3" s="100"/>
      <c r="AM3" s="100"/>
      <c r="AN3" s="100"/>
      <c r="AO3" s="100"/>
      <c r="AP3" s="410"/>
    </row>
    <row r="4" spans="1:42" ht="6.75" customHeight="1" x14ac:dyDescent="0.2">
      <c r="A4" s="3"/>
      <c r="B4" s="3"/>
      <c r="C4" s="3"/>
      <c r="D4" s="3"/>
      <c r="E4" s="15"/>
      <c r="F4" s="3"/>
      <c r="G4" s="3"/>
      <c r="H4" s="15"/>
      <c r="I4" s="15"/>
      <c r="J4" s="15"/>
      <c r="K4" s="3"/>
      <c r="L4" s="3"/>
      <c r="M4" s="3"/>
      <c r="O4" s="118"/>
      <c r="P4" s="118"/>
      <c r="Q4" s="118"/>
      <c r="R4" s="118"/>
      <c r="S4" s="118"/>
      <c r="T4" s="118"/>
      <c r="U4" s="118"/>
      <c r="V4" s="118"/>
      <c r="W4" s="118"/>
      <c r="X4" s="118"/>
      <c r="Y4" s="118"/>
      <c r="Z4" s="118"/>
      <c r="AA4" s="118"/>
      <c r="AB4" s="118"/>
      <c r="AC4" s="118"/>
      <c r="AD4" s="118"/>
      <c r="AE4" s="118"/>
      <c r="AF4" s="118"/>
      <c r="AG4" s="118"/>
      <c r="AH4" s="118"/>
      <c r="AI4" s="118"/>
      <c r="AJ4" s="100"/>
      <c r="AK4" s="100"/>
      <c r="AL4" s="100"/>
      <c r="AM4" s="100"/>
      <c r="AN4" s="100"/>
      <c r="AO4" s="100"/>
      <c r="AP4" s="410"/>
    </row>
    <row r="5" spans="1:42" x14ac:dyDescent="0.2">
      <c r="A5" s="3"/>
      <c r="B5" s="258"/>
      <c r="C5" s="258"/>
      <c r="D5" s="258"/>
      <c r="E5" s="258"/>
      <c r="F5" s="258"/>
      <c r="G5" s="258"/>
      <c r="H5" s="258"/>
      <c r="I5" s="258"/>
      <c r="J5" s="258"/>
      <c r="K5" s="258"/>
      <c r="L5" s="259"/>
      <c r="M5" s="259"/>
      <c r="Y5" s="112"/>
      <c r="Z5" s="112"/>
      <c r="AA5" s="112"/>
      <c r="AB5" s="112"/>
      <c r="AC5" s="112"/>
      <c r="AD5" s="112"/>
      <c r="AE5" s="112"/>
      <c r="AF5" s="112"/>
      <c r="AG5" s="112"/>
      <c r="AH5" s="112"/>
      <c r="AI5" s="118"/>
      <c r="AJ5" s="100"/>
      <c r="AK5" s="100"/>
      <c r="AL5" s="100"/>
      <c r="AM5" s="100"/>
      <c r="AN5" s="100"/>
      <c r="AO5" s="100"/>
      <c r="AP5" s="410"/>
    </row>
    <row r="6" spans="1:42" x14ac:dyDescent="0.2">
      <c r="A6" s="3"/>
      <c r="B6" s="380" t="s">
        <v>2292</v>
      </c>
      <c r="C6" s="381">
        <f>Eingabe!H37</f>
        <v>6</v>
      </c>
      <c r="D6" s="382" t="s">
        <v>2165</v>
      </c>
      <c r="E6" s="383" t="s">
        <v>1241</v>
      </c>
      <c r="F6" s="380" t="str">
        <f>'PLZ-Zuordnung'!J3</f>
        <v>W</v>
      </c>
      <c r="G6" s="384"/>
      <c r="H6" s="384"/>
      <c r="I6" s="385"/>
      <c r="J6" s="385"/>
      <c r="K6" s="384"/>
      <c r="L6" s="384"/>
      <c r="M6" s="417"/>
      <c r="N6" s="424"/>
      <c r="O6" s="133"/>
      <c r="P6" s="133"/>
      <c r="Y6" s="112"/>
      <c r="Z6" s="112"/>
      <c r="AA6" s="112"/>
      <c r="AB6" s="112"/>
      <c r="AC6" s="112"/>
      <c r="AD6" s="112"/>
      <c r="AE6" s="112"/>
      <c r="AF6" s="112"/>
      <c r="AG6" s="112"/>
      <c r="AH6" s="112"/>
      <c r="AI6" s="112"/>
      <c r="AJ6" s="293"/>
      <c r="AK6" s="293"/>
      <c r="AL6" s="293"/>
      <c r="AM6" s="100"/>
      <c r="AN6" s="100"/>
      <c r="AO6" s="100"/>
      <c r="AP6" s="410"/>
    </row>
    <row r="7" spans="1:42" x14ac:dyDescent="0.2">
      <c r="A7" s="3"/>
      <c r="B7" s="386" t="s">
        <v>2293</v>
      </c>
      <c r="C7" s="527" t="str">
        <f>Eingabe!H63</f>
        <v>Landesförderung</v>
      </c>
      <c r="D7" s="528"/>
      <c r="E7" s="380" t="s">
        <v>2297</v>
      </c>
      <c r="F7" s="387">
        <f>H64</f>
        <v>0</v>
      </c>
      <c r="G7" s="382" t="s">
        <v>2164</v>
      </c>
      <c r="H7" s="385"/>
      <c r="I7" s="385"/>
      <c r="J7" s="385"/>
      <c r="K7" s="384"/>
      <c r="L7" s="384"/>
      <c r="M7" s="417"/>
      <c r="N7" s="424"/>
      <c r="O7" s="133"/>
      <c r="P7" s="133"/>
      <c r="Y7" s="112"/>
      <c r="Z7" s="112"/>
      <c r="AA7" s="112"/>
      <c r="AB7" s="112"/>
      <c r="AC7" s="112"/>
      <c r="AD7" s="112"/>
      <c r="AE7" s="112"/>
      <c r="AF7" s="112"/>
      <c r="AG7" s="112"/>
      <c r="AH7" s="112"/>
      <c r="AI7" s="112"/>
      <c r="AJ7" s="293"/>
      <c r="AK7" s="293"/>
      <c r="AL7" s="293"/>
      <c r="AM7" s="100"/>
      <c r="AN7" s="100"/>
      <c r="AO7" s="100"/>
      <c r="AP7" s="410"/>
    </row>
    <row r="8" spans="1:42" ht="7.5" customHeight="1" x14ac:dyDescent="0.2">
      <c r="A8" s="3"/>
      <c r="B8" s="126"/>
      <c r="C8" s="126"/>
      <c r="D8" s="126"/>
      <c r="E8" s="127"/>
      <c r="F8" s="126"/>
      <c r="G8" s="126"/>
      <c r="H8" s="127"/>
      <c r="I8" s="127"/>
      <c r="J8" s="127"/>
      <c r="K8" s="126"/>
      <c r="L8" s="241"/>
      <c r="M8" s="241"/>
      <c r="Y8" s="112"/>
      <c r="Z8" s="112"/>
      <c r="AA8" s="112"/>
      <c r="AB8" s="112"/>
      <c r="AC8" s="112"/>
      <c r="AD8" s="112"/>
      <c r="AE8" s="112"/>
      <c r="AF8" s="112"/>
      <c r="AG8" s="112"/>
      <c r="AH8" s="112"/>
      <c r="AI8" s="112"/>
      <c r="AJ8" s="293"/>
      <c r="AK8" s="293"/>
      <c r="AL8" s="293"/>
      <c r="AM8" s="100"/>
      <c r="AN8" s="100"/>
      <c r="AO8" s="100"/>
      <c r="AP8" s="410"/>
    </row>
    <row r="9" spans="1:42" x14ac:dyDescent="0.2">
      <c r="A9" s="3"/>
      <c r="B9" s="390" t="s">
        <v>1619</v>
      </c>
      <c r="C9" s="391" t="s">
        <v>1620</v>
      </c>
      <c r="D9" s="391" t="s">
        <v>1622</v>
      </c>
      <c r="E9" s="392" t="s">
        <v>83</v>
      </c>
      <c r="F9" s="391" t="s">
        <v>87</v>
      </c>
      <c r="G9" s="391" t="s">
        <v>2639</v>
      </c>
      <c r="H9" s="391" t="s">
        <v>2638</v>
      </c>
      <c r="I9" s="391" t="s">
        <v>2640</v>
      </c>
      <c r="J9" s="391" t="s">
        <v>85</v>
      </c>
      <c r="K9" s="392" t="s">
        <v>86</v>
      </c>
      <c r="L9" s="392" t="s">
        <v>91</v>
      </c>
      <c r="M9" s="433" t="s">
        <v>2637</v>
      </c>
      <c r="O9" s="425" t="s">
        <v>2042</v>
      </c>
      <c r="P9" s="426" t="s">
        <v>934</v>
      </c>
      <c r="Q9" s="426" t="s">
        <v>607</v>
      </c>
      <c r="R9" s="426" t="s">
        <v>2291</v>
      </c>
      <c r="S9" s="426" t="s">
        <v>605</v>
      </c>
      <c r="T9" s="426" t="s">
        <v>2290</v>
      </c>
      <c r="U9" s="388"/>
      <c r="V9" s="426" t="s">
        <v>2651</v>
      </c>
      <c r="Y9" s="112"/>
      <c r="Z9" s="112"/>
      <c r="AA9" s="112"/>
      <c r="AB9" s="112" t="s">
        <v>2594</v>
      </c>
      <c r="AC9" s="112"/>
      <c r="AD9" s="112"/>
      <c r="AE9" s="112"/>
      <c r="AF9" s="112" t="s">
        <v>2596</v>
      </c>
      <c r="AG9" s="112"/>
      <c r="AH9" s="112"/>
      <c r="AI9" s="112"/>
      <c r="AJ9" s="112" t="s">
        <v>2597</v>
      </c>
      <c r="AK9" s="112"/>
      <c r="AL9" s="112"/>
      <c r="AM9" s="100"/>
      <c r="AN9" s="100"/>
      <c r="AO9" s="100"/>
      <c r="AP9" s="410"/>
    </row>
    <row r="10" spans="1:42" x14ac:dyDescent="0.2">
      <c r="A10" s="3"/>
      <c r="B10" s="393"/>
      <c r="C10" s="394" t="s">
        <v>1623</v>
      </c>
      <c r="D10" s="395" t="s">
        <v>88</v>
      </c>
      <c r="E10" s="394" t="s">
        <v>1621</v>
      </c>
      <c r="F10" s="394" t="s">
        <v>1621</v>
      </c>
      <c r="G10" s="394" t="s">
        <v>1621</v>
      </c>
      <c r="H10" s="394" t="s">
        <v>1621</v>
      </c>
      <c r="I10" s="394" t="s">
        <v>1621</v>
      </c>
      <c r="J10" s="394" t="s">
        <v>1621</v>
      </c>
      <c r="K10" s="394" t="s">
        <v>1621</v>
      </c>
      <c r="L10" s="394" t="s">
        <v>1621</v>
      </c>
      <c r="M10" s="434"/>
      <c r="O10" s="426" t="s">
        <v>1623</v>
      </c>
      <c r="P10" s="426" t="s">
        <v>1623</v>
      </c>
      <c r="Q10" s="426" t="s">
        <v>1623</v>
      </c>
      <c r="R10" s="426" t="s">
        <v>1623</v>
      </c>
      <c r="S10" s="426" t="s">
        <v>1623</v>
      </c>
      <c r="T10" s="426" t="s">
        <v>1623</v>
      </c>
      <c r="U10" s="427"/>
      <c r="V10" s="426" t="s">
        <v>1621</v>
      </c>
      <c r="Y10" s="112" t="s">
        <v>2589</v>
      </c>
      <c r="Z10" s="112" t="s">
        <v>2590</v>
      </c>
      <c r="AA10" s="112"/>
      <c r="AB10" s="112" t="s">
        <v>87</v>
      </c>
      <c r="AC10" s="114" t="s">
        <v>87</v>
      </c>
      <c r="AD10" s="114" t="s">
        <v>2592</v>
      </c>
      <c r="AE10" s="114" t="s">
        <v>2593</v>
      </c>
      <c r="AF10" s="112"/>
      <c r="AG10" s="112"/>
      <c r="AH10" s="112"/>
      <c r="AI10" s="112"/>
      <c r="AJ10" s="112"/>
      <c r="AK10" s="112"/>
      <c r="AL10" s="112"/>
      <c r="AM10" s="100"/>
      <c r="AN10" s="100"/>
      <c r="AO10" s="100"/>
      <c r="AP10" s="410"/>
    </row>
    <row r="11" spans="1:42" x14ac:dyDescent="0.2">
      <c r="A11" s="3"/>
      <c r="B11" s="242">
        <v>0</v>
      </c>
      <c r="C11" s="243"/>
      <c r="D11" s="244"/>
      <c r="E11" s="245"/>
      <c r="F11" s="245">
        <f>Eingabe!H94*Eingabe!H88</f>
        <v>7230</v>
      </c>
      <c r="G11" s="245"/>
      <c r="H11" s="245"/>
      <c r="I11" s="245">
        <f t="shared" ref="I11:I22" si="0">G11+H11</f>
        <v>0</v>
      </c>
      <c r="J11" s="245">
        <f>E11-F11-I11</f>
        <v>-7230</v>
      </c>
      <c r="K11" s="245">
        <f>J11/(1+(Eingabe!H$108/100))^B11</f>
        <v>-7230</v>
      </c>
      <c r="L11" s="245">
        <f>K11</f>
        <v>-7230</v>
      </c>
      <c r="M11" s="435">
        <f>IF(L11&lt;0,N11,0)</f>
        <v>1</v>
      </c>
      <c r="N11" s="112">
        <v>1</v>
      </c>
      <c r="O11" s="381"/>
      <c r="P11" s="425"/>
      <c r="Q11" s="425"/>
      <c r="R11" s="425"/>
      <c r="S11" s="425"/>
      <c r="T11" s="425"/>
      <c r="U11" s="114"/>
      <c r="V11" s="425"/>
      <c r="X11" s="112" t="s">
        <v>825</v>
      </c>
      <c r="Y11" s="112" t="s">
        <v>2591</v>
      </c>
      <c r="Z11" s="112"/>
      <c r="AA11" s="112"/>
      <c r="AB11" s="115">
        <f>F11</f>
        <v>7230</v>
      </c>
      <c r="AC11" s="115">
        <f>F11</f>
        <v>7230</v>
      </c>
      <c r="AD11" s="112"/>
      <c r="AE11" s="112"/>
      <c r="AF11" s="112"/>
      <c r="AG11" s="112"/>
      <c r="AH11" s="112"/>
      <c r="AI11" s="112"/>
      <c r="AJ11" s="112"/>
      <c r="AK11" s="112"/>
      <c r="AL11" s="112"/>
      <c r="AM11" s="100"/>
      <c r="AN11" s="100"/>
      <c r="AO11" s="100"/>
      <c r="AP11" s="410"/>
    </row>
    <row r="12" spans="1:42" x14ac:dyDescent="0.2">
      <c r="A12" s="3"/>
      <c r="B12" s="246">
        <v>1</v>
      </c>
      <c r="C12" s="247">
        <f>IF($C$7="Invest- inkl. Tarifförderung",O12,T12)</f>
        <v>0.16449999999999998</v>
      </c>
      <c r="D12" s="248">
        <f>Eingabe!$H$114*1/(1+(Eingabe!H$100/100))^B11</f>
        <v>6063.9470117647088</v>
      </c>
      <c r="E12" s="248">
        <f>C12*D12</f>
        <v>997.51928343529448</v>
      </c>
      <c r="F12" s="248">
        <f>(Eingabe!H$90*(Eingabe!H$99/100))*((1+(Eingabe!H$104/100))^B11)+(Eingabe!H98*Eingabe!H37)</f>
        <v>36</v>
      </c>
      <c r="G12" s="248">
        <f>IF(AND(Eingabe!$J$89&lt;=Berechnungen!B12,(Eingabe!$J$89+Eingabe!$J$90)&gt;B12),(Eingabe!$H$94*(1-Eingabe!$H$88))/Eingabe!$J$90,0)</f>
        <v>0</v>
      </c>
      <c r="H12" s="248">
        <f>((Eingabe!$H$94*(1-Eingabe!$H$88))-SUM($G$11:G11))*Eingabe!$I$88</f>
        <v>0</v>
      </c>
      <c r="I12" s="248">
        <f t="shared" si="0"/>
        <v>0</v>
      </c>
      <c r="J12" s="248">
        <f t="shared" ref="J12:J36" si="1">E12-F12-I12</f>
        <v>961.51928343529448</v>
      </c>
      <c r="K12" s="248">
        <f>J12/(1+(Eingabe!H$108/100))^B12</f>
        <v>924.53777253393696</v>
      </c>
      <c r="L12" s="248">
        <f t="shared" ref="L12:L36" si="2">L11+K12</f>
        <v>-6305.4622274660633</v>
      </c>
      <c r="M12" s="436">
        <f>IF(L12&lt;0,N12,0)</f>
        <v>2</v>
      </c>
      <c r="N12" s="112">
        <v>2</v>
      </c>
      <c r="O12" s="428">
        <f>IF(Eingabe!$H$63=Eingabe!$C$171,IF(R12&lt;&gt;0,IF(Eingabe!$I$67=Eingabe!$C$202,S12,R12),P12),IF(Eingabe!$H$63=Eingabe!$C$173,T12,IF(Eingabe!$H$63=Eingabe!$C$172,T12,IF(Eingabe!$H$63=Eingabe!$C$174,T12,"Zuordnung!"))))</f>
        <v>0.16449999999999998</v>
      </c>
      <c r="P12" s="428">
        <f>Eingabe!H$106*(1+(Eingabe!H$107/100))^B11</f>
        <v>0.06</v>
      </c>
      <c r="Q12" s="428">
        <f>Eingabe!H$105*(1+(Eingabe!H$107/100))^B11</f>
        <v>0.25</v>
      </c>
      <c r="R12" s="428">
        <f t="shared" ref="R12:R24" si="3">$F$7</f>
        <v>0</v>
      </c>
      <c r="S12" s="428">
        <f>IF(Eingabe!$I$67="Volleinspeisung",Berechnungen!R12,(R12*Eingabe!$H$75+Berechnungen!Q12*Eingabe!$H$74)/100)</f>
        <v>0.13750000000000001</v>
      </c>
      <c r="T12" s="428">
        <f>(P12*Eingabe!$H$75+Berechnungen!Q12*Eingabe!$H$74)/100</f>
        <v>0.16449999999999998</v>
      </c>
      <c r="U12" s="133"/>
      <c r="V12" s="429">
        <f>IF(Eingabe!$H$114*Eingabe!$H$74/100&gt;25000,IF((Eingabe!$H$114*Eingabe!$H$74/100-25000)*0.015&lt;=50,0,(Eingabe!$H$114*Eingabe!$H$74/100-25000)*0.015),0)</f>
        <v>0</v>
      </c>
      <c r="W12" s="430">
        <f>O12*100</f>
        <v>16.45</v>
      </c>
      <c r="X12" s="431">
        <f>(Q12*Eingabe!$H$74/100)/Eingabe!H80*100</f>
        <v>83.586626139817639</v>
      </c>
      <c r="Y12" s="112">
        <f>Eingabe!$H$74</f>
        <v>55</v>
      </c>
      <c r="Z12" s="112"/>
      <c r="AA12" s="116">
        <f>F12/(1+(Eingabe!H$108/100))^B12</f>
        <v>34.615384615384613</v>
      </c>
      <c r="AB12" s="117">
        <f>AB11+AA12</f>
        <v>7264.6153846153848</v>
      </c>
      <c r="AC12" s="115">
        <f>F11+F12</f>
        <v>7266</v>
      </c>
      <c r="AD12" s="115">
        <f>D12</f>
        <v>6063.9470117647088</v>
      </c>
      <c r="AE12" s="432">
        <f>AC12/AD12</f>
        <v>1.1982294676888137</v>
      </c>
      <c r="AF12" s="432">
        <f>AB12/AD12</f>
        <v>1.1980011320219734</v>
      </c>
      <c r="AG12" s="112">
        <f>IF(AF12&lt;O12,AF12,0)</f>
        <v>0</v>
      </c>
      <c r="AH12" s="112">
        <f t="shared" ref="AH12:AH36" si="4">IF(AG11=0,$AG$37,0)</f>
        <v>0</v>
      </c>
      <c r="AI12" s="112">
        <v>1</v>
      </c>
      <c r="AJ12" s="412">
        <f>AF12*(1+(Eingabe!H$108/100))^AI12</f>
        <v>1.2459211773028525</v>
      </c>
      <c r="AK12" s="112"/>
      <c r="AL12" s="112"/>
      <c r="AM12" s="100"/>
      <c r="AN12" s="100"/>
      <c r="AO12" s="100"/>
      <c r="AP12" s="410"/>
    </row>
    <row r="13" spans="1:42" x14ac:dyDescent="0.2">
      <c r="A13" s="3"/>
      <c r="B13" s="246">
        <v>2</v>
      </c>
      <c r="C13" s="247">
        <f t="shared" ref="C13:C36" si="5">IF($C$7="Invest- inkl. Tarifförderung",O13,T13)</f>
        <v>0.16778999999999999</v>
      </c>
      <c r="D13" s="248">
        <f>Eingabe!$H$114*1/(1+(Eingabe!H$100/100))^B12</f>
        <v>6033.7781211589145</v>
      </c>
      <c r="E13" s="248">
        <f t="shared" ref="E13:E36" si="6">C13*D13</f>
        <v>1012.4076309492542</v>
      </c>
      <c r="F13" s="248">
        <f>(Eingabe!H$90*(Eingabe!H$99/100))*((1+(Eingabe!H$104/100))^B12)+(Eingabe!H98*Eingabe!H37)</f>
        <v>37.44</v>
      </c>
      <c r="G13" s="248">
        <f>IF(AND(Eingabe!$J$89&lt;=Berechnungen!B13,(Eingabe!$J$89+Eingabe!$J$90)&gt;B13),(Eingabe!$H$94*(1-Eingabe!$H$88))/Eingabe!$J$90,0)</f>
        <v>0</v>
      </c>
      <c r="H13" s="248">
        <f>((Eingabe!$H$94*(1-Eingabe!$H$88))-SUM($G$11:G12))*Eingabe!$I$88</f>
        <v>0</v>
      </c>
      <c r="I13" s="248">
        <f t="shared" si="0"/>
        <v>0</v>
      </c>
      <c r="J13" s="248">
        <f t="shared" si="1"/>
        <v>974.96763094925427</v>
      </c>
      <c r="K13" s="248">
        <f>J13/(1+(Eingabe!H$108/100))^B13</f>
        <v>901.41238068533119</v>
      </c>
      <c r="L13" s="248">
        <f t="shared" si="2"/>
        <v>-5404.049846780732</v>
      </c>
      <c r="M13" s="436">
        <f t="shared" ref="M13:M36" si="7">IF(L13&lt;0,N13,0)</f>
        <v>3</v>
      </c>
      <c r="N13" s="112">
        <v>3</v>
      </c>
      <c r="O13" s="428">
        <f>IF(Eingabe!$H$63=Eingabe!$C$171,IF(R13&lt;&gt;0,IF(Eingabe!$I$67=Eingabe!$C$202,S13,R13),P13),IF(Eingabe!$H$63=Eingabe!$C$173,T13,IF(Eingabe!$H$63=Eingabe!$C$172,T13,IF(Eingabe!$H$63=Eingabe!$C$174,T13,"Zuordnung!"))))</f>
        <v>0.16778999999999999</v>
      </c>
      <c r="P13" s="428">
        <f>Eingabe!H$106*(1+(Eingabe!H$107/100))^B12</f>
        <v>6.1199999999999997E-2</v>
      </c>
      <c r="Q13" s="428">
        <f>Eingabe!H$105*(1+(Eingabe!H$107/100))^B12</f>
        <v>0.255</v>
      </c>
      <c r="R13" s="428">
        <f t="shared" si="3"/>
        <v>0</v>
      </c>
      <c r="S13" s="428">
        <f>IF(Eingabe!$I$67="Volleinspeisung",Berechnungen!R13,(R13*Eingabe!$H$75+Berechnungen!Q13*Eingabe!$H$74)/100)</f>
        <v>0.14025000000000001</v>
      </c>
      <c r="T13" s="428">
        <f>(P13*Eingabe!$H$75+Berechnungen!Q13*Eingabe!$H$74)/100</f>
        <v>0.16778999999999999</v>
      </c>
      <c r="U13" s="133"/>
      <c r="V13" s="429">
        <f>IF(Eingabe!$H$114*Eingabe!$H$74/100&gt;25000,IF((Eingabe!$H$114*Eingabe!$H$74/100-25000)*0.015&lt;=50,0,(Eingabe!$H$114*Eingabe!$H$74/100-25000)*0.015),0)</f>
        <v>0</v>
      </c>
      <c r="W13" s="430">
        <f t="shared" ref="W13:W36" si="8">O13*100</f>
        <v>16.779</v>
      </c>
      <c r="X13" s="431">
        <f>(P12*Eingabe!$H$75/100)/Eingabe!H80*100</f>
        <v>16.413373860182368</v>
      </c>
      <c r="Y13" s="112">
        <f>Eingabe!$H$75</f>
        <v>45</v>
      </c>
      <c r="Z13" s="112"/>
      <c r="AA13" s="116">
        <f>F13/(1+(Eingabe!H$108/100))^B13</f>
        <v>34.615384615384606</v>
      </c>
      <c r="AB13" s="117">
        <f t="shared" ref="AB13:AB36" si="9">AB12+AA13</f>
        <v>7299.2307692307695</v>
      </c>
      <c r="AC13" s="115">
        <f t="shared" ref="AC13:AC36" si="10">AC12+F13</f>
        <v>7303.44</v>
      </c>
      <c r="AD13" s="115">
        <f t="shared" ref="AD13:AD36" si="11">AD12+D13</f>
        <v>12097.725132923624</v>
      </c>
      <c r="AE13" s="432">
        <f t="shared" ref="AE13:AE36" si="12">AC13/AD13</f>
        <v>0.60370358226472598</v>
      </c>
      <c r="AF13" s="432">
        <f t="shared" ref="AF13:AF36" si="13">AB13/AD13</f>
        <v>0.60335564653937412</v>
      </c>
      <c r="AG13" s="112">
        <f t="shared" ref="AG13:AG36" si="14">IF(AF13&lt;O13,AF13,0)</f>
        <v>0</v>
      </c>
      <c r="AH13" s="112">
        <f t="shared" si="4"/>
        <v>0</v>
      </c>
      <c r="AI13" s="112">
        <v>2</v>
      </c>
      <c r="AJ13" s="412">
        <f>AF13*(1+(Eingabe!H$108/100))^AI13</f>
        <v>0.65258946729698708</v>
      </c>
      <c r="AK13" s="112"/>
      <c r="AL13" s="112"/>
      <c r="AM13" s="100"/>
      <c r="AN13" s="100"/>
      <c r="AO13" s="100"/>
      <c r="AP13" s="410"/>
    </row>
    <row r="14" spans="1:42" x14ac:dyDescent="0.2">
      <c r="A14" s="3"/>
      <c r="B14" s="246">
        <v>3</v>
      </c>
      <c r="C14" s="247">
        <f t="shared" si="5"/>
        <v>0.17114580000000001</v>
      </c>
      <c r="D14" s="248">
        <f>Eingabe!$H$114*1/(1+(Eingabe!H$100/100))^B13</f>
        <v>6003.759324536235</v>
      </c>
      <c r="E14" s="248">
        <f t="shared" si="6"/>
        <v>1027.5181926052137</v>
      </c>
      <c r="F14" s="248">
        <f>(Eingabe!H$90*(Eingabe!H$99/100))*((1+(Eingabe!H$104/100))^B13)+(Eingabe!H98*Eingabe!H37)</f>
        <v>38.937600000000003</v>
      </c>
      <c r="G14" s="248">
        <f>IF(AND(Eingabe!$J$89&lt;=Berechnungen!B14,(Eingabe!$J$89+Eingabe!$J$90)&gt;B14),(Eingabe!$H$94*(1-Eingabe!$H$88))/Eingabe!$J$90,0)</f>
        <v>0</v>
      </c>
      <c r="H14" s="248">
        <f>((Eingabe!$H$94*(1-Eingabe!$H$88))-SUM($G$11:G13))*Eingabe!$I$88</f>
        <v>0</v>
      </c>
      <c r="I14" s="248">
        <f t="shared" si="0"/>
        <v>0</v>
      </c>
      <c r="J14" s="248">
        <f t="shared" si="1"/>
        <v>988.58059260521372</v>
      </c>
      <c r="K14" s="248">
        <f>J14/(1+(Eingabe!H$108/100))^B14</f>
        <v>878.84454707877012</v>
      </c>
      <c r="L14" s="248">
        <f t="shared" si="2"/>
        <v>-4525.2052997019618</v>
      </c>
      <c r="M14" s="436">
        <f t="shared" si="7"/>
        <v>4</v>
      </c>
      <c r="N14" s="112">
        <v>4</v>
      </c>
      <c r="O14" s="428">
        <f>IF(Eingabe!$H$63=Eingabe!$C$171,IF(R14&lt;&gt;0,IF(Eingabe!$I$67=Eingabe!$C$202,S14,R14),P14),IF(Eingabe!$H$63=Eingabe!$C$173,T14,IF(Eingabe!$H$63=Eingabe!$C$172,T14,IF(Eingabe!$H$63=Eingabe!$C$174,T14,"Zuordnung!"))))</f>
        <v>0.17114580000000001</v>
      </c>
      <c r="P14" s="428">
        <f>Eingabe!H$106*(1+(Eingabe!H$107/100))^B13</f>
        <v>6.2424E-2</v>
      </c>
      <c r="Q14" s="428">
        <f>Eingabe!H$105*(1+(Eingabe!H$107/100))^B13</f>
        <v>0.2601</v>
      </c>
      <c r="R14" s="428">
        <f t="shared" si="3"/>
        <v>0</v>
      </c>
      <c r="S14" s="428">
        <f>IF(Eingabe!$I$67="Volleinspeisung",Berechnungen!R14,(R14*Eingabe!$H$75+Berechnungen!Q14*Eingabe!$H$74)/100)</f>
        <v>0.14305500000000002</v>
      </c>
      <c r="T14" s="428">
        <f>(P14*Eingabe!$H$75+Berechnungen!Q14*Eingabe!$H$74)/100</f>
        <v>0.17114580000000001</v>
      </c>
      <c r="U14" s="133"/>
      <c r="V14" s="429">
        <f>IF(Eingabe!$H$114*Eingabe!$H$74/100&gt;25000,IF((Eingabe!$H$114*Eingabe!$H$74/100-25000)*0.015&lt;=50,0,(Eingabe!$H$114*Eingabe!$H$74/100-25000)*0.015),0)</f>
        <v>0</v>
      </c>
      <c r="W14" s="430">
        <f t="shared" si="8"/>
        <v>17.11458</v>
      </c>
      <c r="X14" s="431">
        <f>P14*Eingabe!$H$75/100</f>
        <v>2.8090799999999999E-2</v>
      </c>
      <c r="Y14" s="431">
        <f>Q14*Eingabe!$H$74/100</f>
        <v>0.14305500000000002</v>
      </c>
      <c r="Z14" s="112"/>
      <c r="AA14" s="116">
        <f>F14/(1+(Eingabe!H$108/100))^B14</f>
        <v>34.615384615384613</v>
      </c>
      <c r="AB14" s="117">
        <f t="shared" si="9"/>
        <v>7333.8461538461543</v>
      </c>
      <c r="AC14" s="115">
        <f t="shared" si="10"/>
        <v>7342.3775999999998</v>
      </c>
      <c r="AD14" s="115">
        <f t="shared" si="11"/>
        <v>18101.484457459861</v>
      </c>
      <c r="AE14" s="432">
        <f t="shared" si="12"/>
        <v>0.40562295414253213</v>
      </c>
      <c r="AF14" s="432">
        <f t="shared" si="13"/>
        <v>0.40515164218058258</v>
      </c>
      <c r="AG14" s="112">
        <f t="shared" si="14"/>
        <v>0</v>
      </c>
      <c r="AH14" s="112">
        <f t="shared" si="4"/>
        <v>0</v>
      </c>
      <c r="AI14" s="112">
        <v>3</v>
      </c>
      <c r="AJ14" s="412">
        <f>AF14*(1+(Eingabe!H$108/100))^AI14</f>
        <v>0.45574049682981888</v>
      </c>
      <c r="AK14" s="112"/>
      <c r="AL14" s="112"/>
      <c r="AM14" s="100"/>
      <c r="AN14" s="100"/>
      <c r="AO14" s="100"/>
      <c r="AP14" s="410"/>
    </row>
    <row r="15" spans="1:42" x14ac:dyDescent="0.2">
      <c r="A15" s="3"/>
      <c r="B15" s="246">
        <v>4</v>
      </c>
      <c r="C15" s="247">
        <f t="shared" si="5"/>
        <v>0.17456871599999998</v>
      </c>
      <c r="D15" s="248">
        <f>Eingabe!$H$114*1/(1+(Eingabe!H$100/100))^B14</f>
        <v>5973.8898751604329</v>
      </c>
      <c r="E15" s="248">
        <f t="shared" si="6"/>
        <v>1042.8542850321569</v>
      </c>
      <c r="F15" s="248">
        <f>(Eingabe!H$90*(Eingabe!H$99/100))*((1+(Eingabe!H$104/100))^B14)+(Eingabe!H98*Eingabe!H37)</f>
        <v>40.495104000000005</v>
      </c>
      <c r="G15" s="248">
        <f>IF(AND(Eingabe!$J$89&lt;=Berechnungen!B15,(Eingabe!$J$89+Eingabe!$J$90)&gt;B15),(Eingabe!$H$94*(1-Eingabe!$H$88))/Eingabe!$J$90,0)</f>
        <v>0</v>
      </c>
      <c r="H15" s="248">
        <f>((Eingabe!$H$94*(1-Eingabe!$H$88))-SUM($G$11:G14))*Eingabe!$I$88</f>
        <v>0</v>
      </c>
      <c r="I15" s="248">
        <f t="shared" si="0"/>
        <v>0</v>
      </c>
      <c r="J15" s="248">
        <f t="shared" si="1"/>
        <v>1002.3591810321569</v>
      </c>
      <c r="K15" s="248">
        <f>J15/(1+(Eingabe!H$108/100))^B15</f>
        <v>856.82082886341129</v>
      </c>
      <c r="L15" s="248">
        <f t="shared" si="2"/>
        <v>-3668.3844708385504</v>
      </c>
      <c r="M15" s="436">
        <f t="shared" si="7"/>
        <v>5</v>
      </c>
      <c r="N15" s="112">
        <v>5</v>
      </c>
      <c r="O15" s="428">
        <f>IF(Eingabe!$H$63=Eingabe!$C$171,IF(R15&lt;&gt;0,IF(Eingabe!$I$67=Eingabe!$C$202,S15,R15),P15),IF(Eingabe!$H$63=Eingabe!$C$173,T15,IF(Eingabe!$H$63=Eingabe!$C$172,T15,IF(Eingabe!$H$63=Eingabe!$C$174,T15,"Zuordnung!"))))</f>
        <v>0.17456871599999998</v>
      </c>
      <c r="P15" s="428">
        <f>Eingabe!H$106*(1+(Eingabe!H$107/100))^B14</f>
        <v>6.367247999999999E-2</v>
      </c>
      <c r="Q15" s="428">
        <f>Eingabe!H$105*(1+(Eingabe!H$107/100))^B14</f>
        <v>0.26530199999999998</v>
      </c>
      <c r="R15" s="428">
        <f t="shared" si="3"/>
        <v>0</v>
      </c>
      <c r="S15" s="428">
        <f>IF(Eingabe!$I$67="Volleinspeisung",Berechnungen!R15,(R15*Eingabe!$H$75+Berechnungen!Q15*Eingabe!$H$74)/100)</f>
        <v>0.14591609999999999</v>
      </c>
      <c r="T15" s="428">
        <f>(P15*Eingabe!$H$75+Berechnungen!Q15*Eingabe!$H$74)/100</f>
        <v>0.17456871599999998</v>
      </c>
      <c r="U15" s="133"/>
      <c r="V15" s="429">
        <f>IF(Eingabe!$H$114*Eingabe!$H$74/100&gt;25000,IF((Eingabe!$H$114*Eingabe!$H$74/100-25000)*0.015&lt;=50,0,(Eingabe!$H$114*Eingabe!$H$74/100-25000)*0.015),0)</f>
        <v>0</v>
      </c>
      <c r="W15" s="430">
        <f t="shared" si="8"/>
        <v>17.456871599999999</v>
      </c>
      <c r="X15" s="431">
        <f>P15*Eingabe!$H$75/100</f>
        <v>2.8652615999999999E-2</v>
      </c>
      <c r="Y15" s="431">
        <f>Q15*Eingabe!$H$74/100</f>
        <v>0.14591609999999999</v>
      </c>
      <c r="Z15" s="112"/>
      <c r="AA15" s="116">
        <f>F15/(1+(Eingabe!H$108/100))^B15</f>
        <v>34.615384615384613</v>
      </c>
      <c r="AB15" s="117">
        <f t="shared" si="9"/>
        <v>7368.461538461539</v>
      </c>
      <c r="AC15" s="115">
        <f t="shared" si="10"/>
        <v>7382.8727039999994</v>
      </c>
      <c r="AD15" s="115">
        <f t="shared" si="11"/>
        <v>24075.374332620293</v>
      </c>
      <c r="AE15" s="432">
        <f t="shared" si="12"/>
        <v>0.30665661110808862</v>
      </c>
      <c r="AF15" s="432">
        <f t="shared" si="13"/>
        <v>0.30605802579268049</v>
      </c>
      <c r="AG15" s="112">
        <f t="shared" si="14"/>
        <v>0</v>
      </c>
      <c r="AH15" s="112">
        <f t="shared" si="4"/>
        <v>0</v>
      </c>
      <c r="AI15" s="112">
        <v>4</v>
      </c>
      <c r="AJ15" s="412">
        <f>AF15*(1+(Eingabe!H$108/100))^AI15</f>
        <v>0.35804460133026811</v>
      </c>
      <c r="AK15" s="112"/>
      <c r="AL15" s="112"/>
      <c r="AM15" s="100"/>
      <c r="AN15" s="100"/>
      <c r="AO15" s="100"/>
      <c r="AP15" s="410"/>
    </row>
    <row r="16" spans="1:42" x14ac:dyDescent="0.2">
      <c r="A16" s="3"/>
      <c r="B16" s="246">
        <v>5</v>
      </c>
      <c r="C16" s="247">
        <f t="shared" si="5"/>
        <v>0.17806009031999998</v>
      </c>
      <c r="D16" s="248">
        <f>Eingabe!$H$114*1/(1+(Eingabe!H$100/100))^B15</f>
        <v>5944.1690300103828</v>
      </c>
      <c r="E16" s="248">
        <f t="shared" si="6"/>
        <v>1058.4192743609954</v>
      </c>
      <c r="F16" s="248">
        <f>(Eingabe!H$90*(Eingabe!H$99/100))*((1+(Eingabe!H$104/100))^B15)+(Eingabe!H98*Eingabe!H37)</f>
        <v>42.114908160000006</v>
      </c>
      <c r="G16" s="248">
        <f>IF(AND(Eingabe!$J$89&lt;=Berechnungen!B16,(Eingabe!$J$89+Eingabe!$J$90)&gt;B16),(Eingabe!$H$94*(1-Eingabe!$H$88))/Eingabe!$J$90,0)</f>
        <v>0</v>
      </c>
      <c r="H16" s="248">
        <f>((Eingabe!$H$94*(1-Eingabe!$H$88))-SUM($G$11:G15))*Eingabe!$I$88</f>
        <v>0</v>
      </c>
      <c r="I16" s="248">
        <f t="shared" si="0"/>
        <v>0</v>
      </c>
      <c r="J16" s="248">
        <f t="shared" si="1"/>
        <v>1016.3043662009953</v>
      </c>
      <c r="K16" s="248">
        <f>J16/(1+(Eingabe!H$108/100))^B16</f>
        <v>835.32810729848063</v>
      </c>
      <c r="L16" s="248">
        <f t="shared" si="2"/>
        <v>-2833.0563635400699</v>
      </c>
      <c r="M16" s="436">
        <f t="shared" si="7"/>
        <v>6</v>
      </c>
      <c r="N16" s="112">
        <v>6</v>
      </c>
      <c r="O16" s="428">
        <f>IF(Eingabe!$H$63=Eingabe!$C$171,IF(R16&lt;&gt;0,IF(Eingabe!$I$67=Eingabe!$C$202,S16,R16),P16),IF(Eingabe!$H$63=Eingabe!$C$173,T16,IF(Eingabe!$H$63=Eingabe!$C$172,T16,IF(Eingabe!$H$63=Eingabe!$C$174,T16,"Zuordnung!"))))</f>
        <v>0.17806009031999998</v>
      </c>
      <c r="P16" s="428">
        <f>Eingabe!H$106*(1+(Eingabe!H$107/100))^B15</f>
        <v>6.4945929599999994E-2</v>
      </c>
      <c r="Q16" s="428">
        <f>Eingabe!H$105*(1+(Eingabe!H$107/100))^B15</f>
        <v>0.27060803999999999</v>
      </c>
      <c r="R16" s="428">
        <f t="shared" si="3"/>
        <v>0</v>
      </c>
      <c r="S16" s="428">
        <f>IF(Eingabe!$I$67="Volleinspeisung",Berechnungen!R16,(R16*Eingabe!$H$75+Berechnungen!Q16*Eingabe!$H$74)/100)</f>
        <v>0.14883442199999999</v>
      </c>
      <c r="T16" s="428">
        <f>(P16*Eingabe!$H$75+Berechnungen!Q16*Eingabe!$H$74)/100</f>
        <v>0.17806009031999998</v>
      </c>
      <c r="U16" s="133"/>
      <c r="V16" s="429">
        <f>IF(Eingabe!$H$114*Eingabe!$H$74/100&gt;25000,IF((Eingabe!$H$114*Eingabe!$H$74/100-25000)*0.015&lt;=50,0,(Eingabe!$H$114*Eingabe!$H$74/100-25000)*0.015),0)</f>
        <v>0</v>
      </c>
      <c r="W16" s="430">
        <f t="shared" si="8"/>
        <v>17.806009031999999</v>
      </c>
      <c r="X16" s="431">
        <f>P16*Eingabe!$H$75/100</f>
        <v>2.9225668319999999E-2</v>
      </c>
      <c r="Y16" s="431">
        <f>Q16*Eingabe!$H$74/100</f>
        <v>0.14883442199999999</v>
      </c>
      <c r="Z16" s="112"/>
      <c r="AA16" s="116">
        <f>F16/(1+(Eingabe!H$108/100))^B16</f>
        <v>34.615384615384613</v>
      </c>
      <c r="AB16" s="117">
        <f t="shared" si="9"/>
        <v>7403.0769230769238</v>
      </c>
      <c r="AC16" s="115">
        <f t="shared" si="10"/>
        <v>7424.9876121599991</v>
      </c>
      <c r="AD16" s="115">
        <f t="shared" si="11"/>
        <v>30019.543362630677</v>
      </c>
      <c r="AE16" s="432">
        <f t="shared" si="12"/>
        <v>0.24733845956507353</v>
      </c>
      <c r="AF16" s="432">
        <f t="shared" si="13"/>
        <v>0.24660857873982586</v>
      </c>
      <c r="AG16" s="112">
        <f t="shared" si="14"/>
        <v>0</v>
      </c>
      <c r="AH16" s="112">
        <f t="shared" si="4"/>
        <v>0</v>
      </c>
      <c r="AI16" s="112">
        <v>5</v>
      </c>
      <c r="AJ16" s="412">
        <f>AF16*(1+(Eingabe!H$108/100))^AI16</f>
        <v>0.30003704308054818</v>
      </c>
      <c r="AK16" s="112"/>
      <c r="AL16" s="112"/>
      <c r="AM16" s="100"/>
      <c r="AN16" s="100"/>
      <c r="AO16" s="100"/>
      <c r="AP16" s="410"/>
    </row>
    <row r="17" spans="1:42" x14ac:dyDescent="0.2">
      <c r="A17" s="3"/>
      <c r="B17" s="246">
        <v>6</v>
      </c>
      <c r="C17" s="247">
        <f t="shared" si="5"/>
        <v>0.18162129212639999</v>
      </c>
      <c r="D17" s="248">
        <f>Eingabe!$H$114*1/(1+(Eingabe!H$100/100))^B16</f>
        <v>5914.5960497615761</v>
      </c>
      <c r="E17" s="248">
        <f t="shared" si="6"/>
        <v>1074.2165769633987</v>
      </c>
      <c r="F17" s="248">
        <f>(Eingabe!H$90*(Eingabe!H$99/100))*((1+(Eingabe!H$104/100))^B16)+IF(Eingabe!G97="viermal",Eingabe!H97,0)+(Eingabe!H98*Eingabe!H37)</f>
        <v>43.799504486400011</v>
      </c>
      <c r="G17" s="248">
        <f>IF(AND(Eingabe!$J$89&lt;=Berechnungen!B17,(Eingabe!$J$89+Eingabe!$J$90)&gt;B17),(Eingabe!$H$94*(1-Eingabe!$H$88))/Eingabe!$J$90,0)</f>
        <v>0</v>
      </c>
      <c r="H17" s="248">
        <f>((Eingabe!$H$94*(1-Eingabe!$H$88))-SUM($G$11:G16))*Eingabe!$I$88</f>
        <v>0</v>
      </c>
      <c r="I17" s="248">
        <f t="shared" si="0"/>
        <v>0</v>
      </c>
      <c r="J17" s="248">
        <f t="shared" si="1"/>
        <v>1030.4170724769986</v>
      </c>
      <c r="K17" s="248">
        <f>J17/(1+(Eingabe!H$108/100))^B17</f>
        <v>814.35357993890432</v>
      </c>
      <c r="L17" s="248">
        <f t="shared" si="2"/>
        <v>-2018.7027836011657</v>
      </c>
      <c r="M17" s="436">
        <f t="shared" si="7"/>
        <v>7</v>
      </c>
      <c r="N17" s="112">
        <v>7</v>
      </c>
      <c r="O17" s="428">
        <f>IF(Eingabe!$H$63=Eingabe!$C$171,IF(R17&lt;&gt;0,IF(Eingabe!$I$67=Eingabe!$C$202,S17,R17),P17),IF(Eingabe!$H$63=Eingabe!$C$173,T17,IF(Eingabe!$H$63=Eingabe!$C$172,T17,IF(Eingabe!$H$63=Eingabe!$C$174,T17,"Zuordnung!"))))</f>
        <v>0.18162129212639999</v>
      </c>
      <c r="P17" s="428">
        <f>Eingabe!H$106*(1+(Eingabe!H$107/100))^B16</f>
        <v>6.6244848191999994E-2</v>
      </c>
      <c r="Q17" s="428">
        <f>Eingabe!H$105*(1+(Eingabe!H$107/100))^B16</f>
        <v>0.2760202008</v>
      </c>
      <c r="R17" s="428">
        <f t="shared" si="3"/>
        <v>0</v>
      </c>
      <c r="S17" s="428">
        <f>IF(Eingabe!$I$67="Volleinspeisung",Berechnungen!R17,(R17*Eingabe!$H$75+Berechnungen!Q17*Eingabe!$H$74)/100)</f>
        <v>0.15181111044000001</v>
      </c>
      <c r="T17" s="428">
        <f>(P17*Eingabe!$H$75+Berechnungen!Q17*Eingabe!$H$74)/100</f>
        <v>0.18162129212639999</v>
      </c>
      <c r="U17" s="133"/>
      <c r="V17" s="429">
        <f>IF(Eingabe!$H$114*Eingabe!$H$74/100&gt;25000,IF((Eingabe!$H$114*Eingabe!$H$74/100-25000)*0.015&lt;=50,0,(Eingabe!$H$114*Eingabe!$H$74/100-25000)*0.015),0)</f>
        <v>0</v>
      </c>
      <c r="W17" s="430">
        <f t="shared" si="8"/>
        <v>18.16212921264</v>
      </c>
      <c r="X17" s="431">
        <f>P17*Eingabe!$H$75/100</f>
        <v>2.9810181686399997E-2</v>
      </c>
      <c r="Y17" s="431">
        <f>Q17*Eingabe!$H$74/100</f>
        <v>0.15181111044000001</v>
      </c>
      <c r="Z17" s="112"/>
      <c r="AA17" s="116">
        <f>F17/(1+(Eingabe!H$108/100))^B17</f>
        <v>34.615384615384613</v>
      </c>
      <c r="AB17" s="117">
        <f t="shared" si="9"/>
        <v>7437.6923076923085</v>
      </c>
      <c r="AC17" s="115">
        <f t="shared" si="10"/>
        <v>7468.7871166463992</v>
      </c>
      <c r="AD17" s="115">
        <f t="shared" si="11"/>
        <v>35934.139412392251</v>
      </c>
      <c r="AE17" s="432">
        <f t="shared" si="12"/>
        <v>0.2078465559153119</v>
      </c>
      <c r="AF17" s="432">
        <f t="shared" si="13"/>
        <v>0.20698122813892533</v>
      </c>
      <c r="AG17" s="112">
        <f t="shared" si="14"/>
        <v>0</v>
      </c>
      <c r="AH17" s="112">
        <f t="shared" si="4"/>
        <v>0</v>
      </c>
      <c r="AI17" s="112">
        <v>6</v>
      </c>
      <c r="AJ17" s="412">
        <f>AF17*(1+(Eingabe!H$108/100))^AI17</f>
        <v>0.26189728443584176</v>
      </c>
      <c r="AK17" s="112"/>
      <c r="AL17" s="112"/>
      <c r="AM17" s="100"/>
      <c r="AN17" s="100"/>
      <c r="AO17" s="100"/>
      <c r="AP17" s="410"/>
    </row>
    <row r="18" spans="1:42" x14ac:dyDescent="0.2">
      <c r="A18" s="3"/>
      <c r="B18" s="246">
        <v>7</v>
      </c>
      <c r="C18" s="247">
        <f t="shared" si="5"/>
        <v>0.18525371796892803</v>
      </c>
      <c r="D18" s="248">
        <f>Eingabe!$H$114*1/(1+(Eingabe!H$100/100))^B17</f>
        <v>5885.1701987677379</v>
      </c>
      <c r="E18" s="248">
        <f t="shared" si="6"/>
        <v>1090.2496602016586</v>
      </c>
      <c r="F18" s="248">
        <f>(Eingabe!H$90*(Eingabe!H$99/100))*((1+(Eingabe!H$104/100))^B17)+IF(Eingabe!G97="dreimal",Eingabe!H97,0)+(Eingabe!H98*Eingabe!H37)</f>
        <v>45.551484665856016</v>
      </c>
      <c r="G18" s="248">
        <f>IF(AND(Eingabe!$J$89&lt;=Berechnungen!B18,(Eingabe!$J$89+Eingabe!$J$90)&gt;B18),(Eingabe!$H$94*(1-Eingabe!$H$88))/Eingabe!$J$90,0)</f>
        <v>0</v>
      </c>
      <c r="H18" s="248">
        <f>((Eingabe!$H$94*(1-Eingabe!$H$88))-SUM($G$11:G17))*Eingabe!$I$88</f>
        <v>0</v>
      </c>
      <c r="I18" s="248">
        <f t="shared" si="0"/>
        <v>0</v>
      </c>
      <c r="J18" s="248">
        <f t="shared" si="1"/>
        <v>1044.6981755358026</v>
      </c>
      <c r="K18" s="248">
        <f>J18/(1+(Eingabe!H$108/100))^B18</f>
        <v>793.88475300935238</v>
      </c>
      <c r="L18" s="248">
        <f t="shared" si="2"/>
        <v>-1224.8180305918133</v>
      </c>
      <c r="M18" s="436">
        <f t="shared" si="7"/>
        <v>8</v>
      </c>
      <c r="N18" s="112">
        <v>8</v>
      </c>
      <c r="O18" s="428">
        <f>IF(Eingabe!$H$63=Eingabe!$C$171,IF(R18&lt;&gt;0,IF(Eingabe!$I$67=Eingabe!$C$202,S18,R18),P18),IF(Eingabe!$H$63=Eingabe!$C$173,T18,IF(Eingabe!$H$63=Eingabe!$C$172,T18,IF(Eingabe!$H$63=Eingabe!$C$174,T18,"Zuordnung!"))))</f>
        <v>0.18525371796892803</v>
      </c>
      <c r="P18" s="428">
        <f>Eingabe!H$106*(1+(Eingabe!H$107/100))^B17</f>
        <v>6.7569745155840008E-2</v>
      </c>
      <c r="Q18" s="428">
        <f>Eingabe!H$105*(1+(Eingabe!H$107/100))^B17</f>
        <v>0.28154060481600002</v>
      </c>
      <c r="R18" s="428">
        <f t="shared" si="3"/>
        <v>0</v>
      </c>
      <c r="S18" s="428">
        <f>IF(Eingabe!$I$67="Volleinspeisung",Berechnungen!R18,(R18*Eingabe!$H$75+Berechnungen!Q18*Eingabe!$H$74)/100)</f>
        <v>0.15484733264880002</v>
      </c>
      <c r="T18" s="428">
        <f>(P18*Eingabe!$H$75+Berechnungen!Q18*Eingabe!$H$74)/100</f>
        <v>0.18525371796892803</v>
      </c>
      <c r="U18" s="133"/>
      <c r="V18" s="429">
        <f>IF(Eingabe!$H$114*Eingabe!$H$74/100&gt;25000,IF((Eingabe!$H$114*Eingabe!$H$74/100-25000)*0.015&lt;=50,0,(Eingabe!$H$114*Eingabe!$H$74/100-25000)*0.015),0)</f>
        <v>0</v>
      </c>
      <c r="W18" s="430">
        <f t="shared" si="8"/>
        <v>18.525371796892802</v>
      </c>
      <c r="X18" s="431">
        <f>P18*Eingabe!$H$75/100</f>
        <v>3.0406385320128005E-2</v>
      </c>
      <c r="Y18" s="431">
        <f>Q18*Eingabe!$H$74/100</f>
        <v>0.15484733264880002</v>
      </c>
      <c r="Z18" s="112"/>
      <c r="AA18" s="116">
        <f>F18/(1+(Eingabe!H$108/100))^B18</f>
        <v>34.61538461538462</v>
      </c>
      <c r="AB18" s="117">
        <f t="shared" si="9"/>
        <v>7472.3076923076933</v>
      </c>
      <c r="AC18" s="115">
        <f t="shared" si="10"/>
        <v>7514.3386013122554</v>
      </c>
      <c r="AD18" s="115">
        <f t="shared" si="11"/>
        <v>41819.309611159988</v>
      </c>
      <c r="AE18" s="432">
        <f t="shared" si="12"/>
        <v>0.17968585974233692</v>
      </c>
      <c r="AF18" s="432">
        <f t="shared" si="13"/>
        <v>0.17868079989330138</v>
      </c>
      <c r="AG18" s="112">
        <f t="shared" si="14"/>
        <v>0.17868079989330138</v>
      </c>
      <c r="AH18" s="112">
        <f t="shared" si="4"/>
        <v>0</v>
      </c>
      <c r="AI18" s="112">
        <v>7</v>
      </c>
      <c r="AJ18" s="412">
        <f>AF18*(1+(Eingabe!H$108/100))^AI18</f>
        <v>0.23513174291887523</v>
      </c>
      <c r="AK18" s="112"/>
      <c r="AL18" s="112"/>
      <c r="AM18" s="100"/>
      <c r="AN18" s="100"/>
      <c r="AO18" s="100"/>
      <c r="AP18" s="410"/>
    </row>
    <row r="19" spans="1:42" x14ac:dyDescent="0.2">
      <c r="A19" s="3"/>
      <c r="B19" s="246">
        <v>8</v>
      </c>
      <c r="C19" s="247">
        <f t="shared" si="5"/>
        <v>0.18895879232830651</v>
      </c>
      <c r="D19" s="248">
        <f>Eingabe!$H$114*1/(1+(Eingabe!H$100/100))^B18</f>
        <v>5855.8907450425268</v>
      </c>
      <c r="E19" s="248">
        <f t="shared" si="6"/>
        <v>1106.5220431897428</v>
      </c>
      <c r="F19" s="248">
        <f>(Eingabe!H$90*(Eingabe!H$99/100))*((1+(Eingabe!H$104/100))^B18)+(Eingabe!H98*Eingabe!H37)</f>
        <v>47.373544052490246</v>
      </c>
      <c r="G19" s="248">
        <f>IF(AND(Eingabe!$J$89&lt;=Berechnungen!B19,(Eingabe!$J$89+Eingabe!$J$90)&gt;B19),(Eingabe!$H$94*(1-Eingabe!$H$88))/Eingabe!$J$90,0)</f>
        <v>0</v>
      </c>
      <c r="H19" s="248">
        <f>((Eingabe!$H$94*(1-Eingabe!$H$88))-SUM($G$11:G18))*Eingabe!$I$88</f>
        <v>0</v>
      </c>
      <c r="I19" s="248">
        <f t="shared" si="0"/>
        <v>0</v>
      </c>
      <c r="J19" s="248">
        <f t="shared" si="1"/>
        <v>1059.1484991372527</v>
      </c>
      <c r="K19" s="248">
        <f>J19/(1+(Eingabe!H$108/100))^B19</f>
        <v>773.90943396214254</v>
      </c>
      <c r="L19" s="248">
        <f t="shared" si="2"/>
        <v>-450.9085966296708</v>
      </c>
      <c r="M19" s="436">
        <f t="shared" si="7"/>
        <v>9</v>
      </c>
      <c r="N19" s="112">
        <v>9</v>
      </c>
      <c r="O19" s="428">
        <f>IF(Eingabe!$H$63=Eingabe!$C$171,IF(R19&lt;&gt;0,IF(Eingabe!$I$67=Eingabe!$C$202,S19,R19),P19),IF(Eingabe!$H$63=Eingabe!$C$173,T19,IF(Eingabe!$H$63=Eingabe!$C$172,T19,IF(Eingabe!$H$63=Eingabe!$C$174,T19,"Zuordnung!"))))</f>
        <v>0.18895879232830651</v>
      </c>
      <c r="P19" s="428">
        <f>Eingabe!H$106*(1+(Eingabe!H$107/100))^B18</f>
        <v>6.892114005895679E-2</v>
      </c>
      <c r="Q19" s="428">
        <f>Eingabe!H$105*(1+(Eingabe!H$107/100))^B18</f>
        <v>0.28717141691231995</v>
      </c>
      <c r="R19" s="428">
        <f t="shared" si="3"/>
        <v>0</v>
      </c>
      <c r="S19" s="428">
        <f>IF(Eingabe!$I$67="Volleinspeisung",Berechnungen!R19,(R19*Eingabe!$H$75+Berechnungen!Q19*Eingabe!$H$74)/100)</f>
        <v>0.15794427930177599</v>
      </c>
      <c r="T19" s="428">
        <f>(P19*Eingabe!$H$75+Berechnungen!Q19*Eingabe!$H$74)/100</f>
        <v>0.18895879232830651</v>
      </c>
      <c r="U19" s="133"/>
      <c r="V19" s="429">
        <f>IF(Eingabe!$H$114*Eingabe!$H$74/100&gt;25000,IF((Eingabe!$H$114*Eingabe!$H$74/100-25000)*0.015&lt;=50,0,(Eingabe!$H$114*Eingabe!$H$74/100-25000)*0.015),0)</f>
        <v>0</v>
      </c>
      <c r="W19" s="430">
        <f t="shared" si="8"/>
        <v>18.895879232830652</v>
      </c>
      <c r="X19" s="431">
        <f>P19*Eingabe!$H$75/100</f>
        <v>3.1014513026530556E-2</v>
      </c>
      <c r="Y19" s="431">
        <f>Q19*Eingabe!$H$74/100</f>
        <v>0.15794427930177599</v>
      </c>
      <c r="Z19" s="112"/>
      <c r="AA19" s="116">
        <f>F19/(1+(Eingabe!H$108/100))^B19</f>
        <v>34.615384615384606</v>
      </c>
      <c r="AB19" s="117">
        <f t="shared" si="9"/>
        <v>7506.923076923078</v>
      </c>
      <c r="AC19" s="115">
        <f t="shared" si="10"/>
        <v>7561.712145364746</v>
      </c>
      <c r="AD19" s="115">
        <f t="shared" si="11"/>
        <v>47675.200356202513</v>
      </c>
      <c r="AE19" s="432">
        <f t="shared" si="12"/>
        <v>0.15860892222513695</v>
      </c>
      <c r="AF19" s="432">
        <f t="shared" si="13"/>
        <v>0.15745970695110947</v>
      </c>
      <c r="AG19" s="112">
        <f t="shared" si="14"/>
        <v>0.15745970695110947</v>
      </c>
      <c r="AH19" s="112">
        <f t="shared" si="4"/>
        <v>0</v>
      </c>
      <c r="AI19" s="112">
        <v>8</v>
      </c>
      <c r="AJ19" s="412">
        <f>AF19*(1+(Eingabe!H$108/100))^AI19</f>
        <v>0.21549448161917262</v>
      </c>
      <c r="AK19" s="112"/>
      <c r="AL19" s="112"/>
      <c r="AM19" s="100"/>
      <c r="AN19" s="100"/>
      <c r="AO19" s="100"/>
      <c r="AP19" s="410"/>
    </row>
    <row r="20" spans="1:42" x14ac:dyDescent="0.2">
      <c r="A20" s="3"/>
      <c r="B20" s="246">
        <v>9</v>
      </c>
      <c r="C20" s="247">
        <f t="shared" si="5"/>
        <v>0.19273796817487271</v>
      </c>
      <c r="D20" s="248">
        <f>Eingabe!$H$114*1/(1+(Eingabe!H$100/100))^B19</f>
        <v>5826.7569602413205</v>
      </c>
      <c r="E20" s="248">
        <f t="shared" si="6"/>
        <v>1123.0372975657097</v>
      </c>
      <c r="F20" s="248">
        <f>(Eingabe!H$90*(Eingabe!H$99/100))*((1+(Eingabe!H$104/100))^B19)+(Eingabe!H98*Eingabe!H37)</f>
        <v>49.268485814589866</v>
      </c>
      <c r="G20" s="248">
        <f>IF(AND(Eingabe!$J$89&lt;=Berechnungen!B20,(Eingabe!$J$89+Eingabe!$J$90)&gt;B20),(Eingabe!$H$94*(1-Eingabe!$H$88))/Eingabe!$J$90,0)</f>
        <v>0</v>
      </c>
      <c r="H20" s="248">
        <f>((Eingabe!$H$94*(1-Eingabe!$H$88))-SUM($G$11:G19))*Eingabe!$I$88</f>
        <v>0</v>
      </c>
      <c r="I20" s="248">
        <f t="shared" si="0"/>
        <v>0</v>
      </c>
      <c r="J20" s="248">
        <f t="shared" si="1"/>
        <v>1073.7688117511198</v>
      </c>
      <c r="K20" s="248">
        <f>J20/(1+(Eingabe!H$108/100))^B20</f>
        <v>754.41572421457897</v>
      </c>
      <c r="L20" s="248">
        <f t="shared" si="2"/>
        <v>303.50712758490818</v>
      </c>
      <c r="M20" s="436">
        <f t="shared" si="7"/>
        <v>0</v>
      </c>
      <c r="N20" s="112">
        <v>10</v>
      </c>
      <c r="O20" s="428">
        <f>IF(Eingabe!$H$63=Eingabe!$C$171,IF(R20&lt;&gt;0,IF(Eingabe!$I$67=Eingabe!$C$202,S20,R20),P20),IF(Eingabe!$H$63=Eingabe!$C$173,T20,IF(Eingabe!$H$63=Eingabe!$C$172,T20,IF(Eingabe!$H$63=Eingabe!$C$174,T20,"Zuordnung!"))))</f>
        <v>0.19273796817487271</v>
      </c>
      <c r="P20" s="428">
        <f>Eingabe!H$106*(1+(Eingabe!H$107/100))^B19</f>
        <v>7.0299562860135931E-2</v>
      </c>
      <c r="Q20" s="428">
        <f>Eingabe!H$105*(1+(Eingabe!H$107/100))^B19</f>
        <v>0.29291484525056638</v>
      </c>
      <c r="R20" s="428">
        <f t="shared" si="3"/>
        <v>0</v>
      </c>
      <c r="S20" s="428">
        <f>IF(Eingabe!$I$67="Volleinspeisung",Berechnungen!R20,(R20*Eingabe!$H$75+Berechnungen!Q20*Eingabe!$H$74)/100)</f>
        <v>0.16110316488781151</v>
      </c>
      <c r="T20" s="428">
        <f>(P20*Eingabe!$H$75+Berechnungen!Q20*Eingabe!$H$74)/100</f>
        <v>0.19273796817487271</v>
      </c>
      <c r="U20" s="133"/>
      <c r="V20" s="429">
        <f>IF(Eingabe!$H$114*Eingabe!$H$74/100&gt;25000,IF((Eingabe!$H$114*Eingabe!$H$74/100-25000)*0.015&lt;=50,0,(Eingabe!$H$114*Eingabe!$H$74/100-25000)*0.015),0)</f>
        <v>0</v>
      </c>
      <c r="W20" s="430">
        <f t="shared" si="8"/>
        <v>19.27379681748727</v>
      </c>
      <c r="X20" s="431">
        <f>P20*Eingabe!$H$75/100</f>
        <v>3.163480328706117E-2</v>
      </c>
      <c r="Y20" s="431">
        <f>Q20*Eingabe!$H$74/100</f>
        <v>0.16110316488781151</v>
      </c>
      <c r="Z20" s="112"/>
      <c r="AA20" s="116">
        <f>F20/(1+(Eingabe!H$108/100))^B20</f>
        <v>34.615384615384613</v>
      </c>
      <c r="AB20" s="117">
        <f t="shared" si="9"/>
        <v>7541.5384615384628</v>
      </c>
      <c r="AC20" s="115">
        <f t="shared" si="10"/>
        <v>7610.9806311793354</v>
      </c>
      <c r="AD20" s="115">
        <f t="shared" si="11"/>
        <v>53501.957316443833</v>
      </c>
      <c r="AE20" s="432">
        <f t="shared" si="12"/>
        <v>0.14225611571859445</v>
      </c>
      <c r="AF20" s="432">
        <f t="shared" si="13"/>
        <v>0.14095817872481031</v>
      </c>
      <c r="AG20" s="112">
        <f t="shared" si="14"/>
        <v>0.14095817872481031</v>
      </c>
      <c r="AH20" s="112">
        <f t="shared" si="4"/>
        <v>0</v>
      </c>
      <c r="AI20" s="112">
        <v>9</v>
      </c>
      <c r="AJ20" s="412">
        <f>AF20*(1+(Eingabe!H$108/100))^AI20</f>
        <v>0.20062744083644141</v>
      </c>
      <c r="AK20" s="112"/>
      <c r="AL20" s="112"/>
      <c r="AM20" s="100"/>
      <c r="AN20" s="100"/>
      <c r="AO20" s="100"/>
      <c r="AP20" s="410"/>
    </row>
    <row r="21" spans="1:42" x14ac:dyDescent="0.2">
      <c r="A21" s="3"/>
      <c r="B21" s="246">
        <v>10</v>
      </c>
      <c r="C21" s="247">
        <f t="shared" si="5"/>
        <v>0.19659272753837012</v>
      </c>
      <c r="D21" s="248">
        <f>Eingabe!$H$114*1/(1+(Eingabe!H$100/100))^B20</f>
        <v>5797.7681196431049</v>
      </c>
      <c r="E21" s="248">
        <f t="shared" si="6"/>
        <v>1139.7990482756454</v>
      </c>
      <c r="F21" s="248">
        <f>(Eingabe!H$90*(Eingabe!H$99/100))*((1+(Eingabe!H$104/100))^B20)+IF(Eingabe!G97="zweimal",Eingabe!H97,0)+(Eingabe!H98*Eingabe!H37)</f>
        <v>51.239225247173465</v>
      </c>
      <c r="G21" s="248">
        <f>IF(AND(Eingabe!$J$89&lt;=Berechnungen!B21,(Eingabe!$J$89+Eingabe!$J$90)&gt;B21),(Eingabe!$H$94*(1-Eingabe!$H$88))/Eingabe!$J$90,0)</f>
        <v>0</v>
      </c>
      <c r="H21" s="248">
        <f>((Eingabe!$H$94*(1-Eingabe!$H$88))-SUM($G$11:G20))*Eingabe!$I$88</f>
        <v>0</v>
      </c>
      <c r="I21" s="248">
        <f t="shared" si="0"/>
        <v>0</v>
      </c>
      <c r="J21" s="248">
        <f t="shared" si="1"/>
        <v>1088.559823028472</v>
      </c>
      <c r="K21" s="248">
        <f>J21/(1+(Eingabe!H$108/100))^B21</f>
        <v>735.39201206138807</v>
      </c>
      <c r="L21" s="248">
        <f t="shared" si="2"/>
        <v>1038.8991396462961</v>
      </c>
      <c r="M21" s="436">
        <f t="shared" si="7"/>
        <v>0</v>
      </c>
      <c r="N21" s="112">
        <v>11</v>
      </c>
      <c r="O21" s="428">
        <f>IF(Eingabe!$H$63=Eingabe!$C$171,IF(R21&lt;&gt;0,IF(Eingabe!$I$67=Eingabe!$C$202,S21,R21),P21),IF(Eingabe!$H$63=Eingabe!$C$173,T21,IF(Eingabe!$H$63=Eingabe!$C$172,T21,IF(Eingabe!$H$63=Eingabe!$C$174,T21,"Zuordnung!"))))</f>
        <v>0.19659272753837012</v>
      </c>
      <c r="P21" s="428">
        <f>Eingabe!H$106*(1+(Eingabe!H$107/100))^B20</f>
        <v>7.1705554117338643E-2</v>
      </c>
      <c r="Q21" s="428">
        <f>Eingabe!H$105*(1+(Eingabe!H$107/100))^B20</f>
        <v>0.29877314215557771</v>
      </c>
      <c r="R21" s="428">
        <f t="shared" si="3"/>
        <v>0</v>
      </c>
      <c r="S21" s="428">
        <f>IF(Eingabe!$I$67="Volleinspeisung",Berechnungen!R21,(R21*Eingabe!$H$75+Berechnungen!Q21*Eingabe!$H$74)/100)</f>
        <v>0.16432522818556772</v>
      </c>
      <c r="T21" s="428">
        <f>(P21*Eingabe!$H$75+Berechnungen!Q21*Eingabe!$H$74)/100</f>
        <v>0.19659272753837012</v>
      </c>
      <c r="U21" s="133"/>
      <c r="V21" s="429">
        <f>IF(Eingabe!$H$114*Eingabe!$H$74/100&gt;25000,IF((Eingabe!$H$114*Eingabe!$H$74/100-25000)*0.015&lt;=50,0,(Eingabe!$H$114*Eingabe!$H$74/100-25000)*0.015),0)</f>
        <v>0</v>
      </c>
      <c r="W21" s="430">
        <f t="shared" si="8"/>
        <v>19.659272753837012</v>
      </c>
      <c r="X21" s="431">
        <f>P21*Eingabe!$H$75/100</f>
        <v>3.226749935280239E-2</v>
      </c>
      <c r="Y21" s="431">
        <f>Q21*Eingabe!$H$74/100</f>
        <v>0.16432522818556772</v>
      </c>
      <c r="Z21" s="112"/>
      <c r="AA21" s="116">
        <f>F21/(1+(Eingabe!H$108/100))^B21</f>
        <v>34.615384615384613</v>
      </c>
      <c r="AB21" s="117">
        <f t="shared" si="9"/>
        <v>7576.1538461538476</v>
      </c>
      <c r="AC21" s="115">
        <f t="shared" si="10"/>
        <v>7662.2198564265091</v>
      </c>
      <c r="AD21" s="115">
        <f t="shared" si="11"/>
        <v>59299.725436086941</v>
      </c>
      <c r="AE21" s="432">
        <f t="shared" si="12"/>
        <v>0.12921172568808645</v>
      </c>
      <c r="AF21" s="432">
        <f t="shared" si="13"/>
        <v>0.1277603528589589</v>
      </c>
      <c r="AG21" s="112">
        <f t="shared" si="14"/>
        <v>0.1277603528589589</v>
      </c>
      <c r="AH21" s="112">
        <f t="shared" si="4"/>
        <v>0</v>
      </c>
      <c r="AI21" s="112">
        <v>10</v>
      </c>
      <c r="AJ21" s="412">
        <f>AF21*(1+(Eingabe!H$108/100))^AI21</f>
        <v>0.18911653215862501</v>
      </c>
      <c r="AK21" s="112"/>
      <c r="AL21" s="112"/>
      <c r="AM21" s="100"/>
      <c r="AN21" s="100"/>
      <c r="AO21" s="100"/>
      <c r="AP21" s="410"/>
    </row>
    <row r="22" spans="1:42" x14ac:dyDescent="0.2">
      <c r="A22" s="3"/>
      <c r="B22" s="246">
        <v>11</v>
      </c>
      <c r="C22" s="247">
        <f t="shared" si="5"/>
        <v>0.20052458208913757</v>
      </c>
      <c r="D22" s="248">
        <f>Eingabe!$H$114*1/(1+(Eingabe!H$100/100))^B21</f>
        <v>5768.9235021324439</v>
      </c>
      <c r="E22" s="248">
        <f t="shared" si="6"/>
        <v>1156.8109743693121</v>
      </c>
      <c r="F22" s="248">
        <f>(Eingabe!H$90*(Eingabe!H$99/100))*((1+(Eingabe!H$104/100))^B21)+(Eingabe!H98*Eingabe!H37)</f>
        <v>53.288794257060403</v>
      </c>
      <c r="G22" s="248">
        <f>IF(AND(Eingabe!$J$89&lt;=Berechnungen!B22,(Eingabe!$J$89+Eingabe!$J$90)&gt;B22),(Eingabe!$H$94*(1-Eingabe!$H$88))/Eingabe!$J$90,0)</f>
        <v>0</v>
      </c>
      <c r="H22" s="248">
        <f>((Eingabe!$H$94*(1-Eingabe!$H$88))-SUM($G$11:G21))*Eingabe!$I$88</f>
        <v>0</v>
      </c>
      <c r="I22" s="248">
        <f t="shared" si="0"/>
        <v>0</v>
      </c>
      <c r="J22" s="248">
        <f t="shared" si="1"/>
        <v>1103.5221801122518</v>
      </c>
      <c r="K22" s="248">
        <f>J22/(1+(Eingabe!H$108/100))^B22</f>
        <v>716.82696575804482</v>
      </c>
      <c r="L22" s="248">
        <f t="shared" si="2"/>
        <v>1755.7261054043411</v>
      </c>
      <c r="M22" s="436">
        <f t="shared" si="7"/>
        <v>0</v>
      </c>
      <c r="N22" s="112">
        <v>12</v>
      </c>
      <c r="O22" s="428">
        <f>IF(Eingabe!$H$63=Eingabe!$C$171,IF(R22&lt;&gt;0,IF(Eingabe!$I$67=Eingabe!$C$202,S22,R22),P22),IF(Eingabe!$H$63=Eingabe!$C$173,T22,IF(Eingabe!$H$63=Eingabe!$C$172,T22,IF(Eingabe!$H$63=Eingabe!$C$174,T22,"Zuordnung!"))))</f>
        <v>0.20052458208913757</v>
      </c>
      <c r="P22" s="428">
        <f>Eingabe!H$106*(1+(Eingabe!H$107/100))^B21</f>
        <v>7.3139665199685427E-2</v>
      </c>
      <c r="Q22" s="428">
        <f>Eingabe!H$105*(1+(Eingabe!H$107/100))^B21</f>
        <v>0.30474860499868928</v>
      </c>
      <c r="R22" s="428">
        <f t="shared" si="3"/>
        <v>0</v>
      </c>
      <c r="S22" s="428">
        <f>IF(Eingabe!$I$67="Volleinspeisung",Berechnungen!R22,(R22*Eingabe!$H$75+Berechnungen!Q22*Eingabe!$H$74)/100)</f>
        <v>0.1676117327492791</v>
      </c>
      <c r="T22" s="428">
        <f>(P22*Eingabe!$H$75+Berechnungen!Q22*Eingabe!$H$74)/100</f>
        <v>0.20052458208913757</v>
      </c>
      <c r="U22" s="133"/>
      <c r="V22" s="429">
        <f>IF(Eingabe!$H$114*Eingabe!$H$74/100&gt;25000,IF((Eingabe!$H$114*Eingabe!$H$74/100-25000)*0.015&lt;=50,0,(Eingabe!$H$114*Eingabe!$H$74/100-25000)*0.015),0)</f>
        <v>0</v>
      </c>
      <c r="W22" s="430">
        <f t="shared" si="8"/>
        <v>20.052458208913755</v>
      </c>
      <c r="X22" s="431">
        <f>P22*Eingabe!$H$75/100</f>
        <v>3.2912849339858441E-2</v>
      </c>
      <c r="Y22" s="431">
        <f>Q22*Eingabe!$H$74/100</f>
        <v>0.1676117327492791</v>
      </c>
      <c r="Z22" s="112"/>
      <c r="AA22" s="116">
        <f>F22/(1+(Eingabe!H$108/100))^B22</f>
        <v>34.615384615384613</v>
      </c>
      <c r="AB22" s="117">
        <f t="shared" si="9"/>
        <v>7610.7692307692323</v>
      </c>
      <c r="AC22" s="115">
        <f t="shared" si="10"/>
        <v>7715.5086506835696</v>
      </c>
      <c r="AD22" s="115">
        <f t="shared" si="11"/>
        <v>65068.648938219383</v>
      </c>
      <c r="AE22" s="432">
        <f t="shared" si="12"/>
        <v>0.11857490168589792</v>
      </c>
      <c r="AF22" s="432">
        <f t="shared" si="13"/>
        <v>0.11696522603374501</v>
      </c>
      <c r="AG22" s="112">
        <f t="shared" si="14"/>
        <v>0.11696522603374501</v>
      </c>
      <c r="AH22" s="112">
        <f t="shared" si="4"/>
        <v>0</v>
      </c>
      <c r="AI22" s="112">
        <v>11</v>
      </c>
      <c r="AJ22" s="412">
        <f>AF22*(1+(Eingabe!H$108/100))^AI22</f>
        <v>0.18006259166545874</v>
      </c>
      <c r="AK22" s="112"/>
      <c r="AL22" s="112"/>
      <c r="AM22" s="100"/>
      <c r="AN22" s="100"/>
      <c r="AO22" s="100"/>
      <c r="AP22" s="410"/>
    </row>
    <row r="23" spans="1:42" x14ac:dyDescent="0.2">
      <c r="A23" s="3"/>
      <c r="B23" s="246">
        <v>12</v>
      </c>
      <c r="C23" s="247">
        <f t="shared" si="5"/>
        <v>0.20453507373092022</v>
      </c>
      <c r="D23" s="248">
        <f>Eingabe!$H$114*1/(1+(Eingabe!H$100/100))^B22</f>
        <v>5740.2223901815369</v>
      </c>
      <c r="E23" s="248">
        <f t="shared" si="6"/>
        <v>1174.0768098076599</v>
      </c>
      <c r="F23" s="248">
        <f>(Eingabe!H$90*(Eingabe!H$99/100))*((1+(Eingabe!H$104/100))^B22)+IF(Eingabe!G97="viermal",Eingabe!H97,0)+(Eingabe!H98*Eingabe!H37)</f>
        <v>55.420346027342816</v>
      </c>
      <c r="G23" s="248">
        <f>IF(AND(Eingabe!$J$89&lt;=Berechnungen!B23,(Eingabe!$J$89+Eingabe!$J$90)&gt;B23),(Eingabe!$H$94*(1-Eingabe!$H$88))/Eingabe!$J$90,0)</f>
        <v>0</v>
      </c>
      <c r="H23" s="248">
        <f>((Eingabe!$H$94*(1-Eingabe!$H$88))-SUM($G$11:G22))*Eingabe!$I$88</f>
        <v>0</v>
      </c>
      <c r="I23" s="248">
        <f t="shared" ref="I23:I36" si="15">G23+H23</f>
        <v>0</v>
      </c>
      <c r="J23" s="248">
        <f t="shared" si="1"/>
        <v>1118.6564637803172</v>
      </c>
      <c r="K23" s="248">
        <f>J23/(1+(Eingabe!H$108/100))^B23</f>
        <v>698.70952677085506</v>
      </c>
      <c r="L23" s="248">
        <f t="shared" si="2"/>
        <v>2454.4356321751961</v>
      </c>
      <c r="M23" s="436">
        <f t="shared" si="7"/>
        <v>0</v>
      </c>
      <c r="N23" s="112">
        <v>13</v>
      </c>
      <c r="O23" s="428">
        <f>IF(Eingabe!$H$63=Eingabe!$C$171,IF(R23&lt;&gt;0,IF(Eingabe!$I$67=Eingabe!$C$202,S23,R23),P23),IF(Eingabe!$H$63=Eingabe!$C$173,T23,IF(Eingabe!$H$63=Eingabe!$C$172,T23,IF(Eingabe!$H$63=Eingabe!$C$174,T23,"Zuordnung!"))))</f>
        <v>0.20453507373092022</v>
      </c>
      <c r="P23" s="428">
        <f>Eingabe!H$106*(1+(Eingabe!H$107/100))^B22</f>
        <v>7.4602458503679123E-2</v>
      </c>
      <c r="Q23" s="428">
        <f>Eingabe!H$105*(1+(Eingabe!H$107/100))^B22</f>
        <v>0.310843577098663</v>
      </c>
      <c r="R23" s="428">
        <f t="shared" si="3"/>
        <v>0</v>
      </c>
      <c r="S23" s="428">
        <f>IF(Eingabe!$I$67="Volleinspeisung",Berechnungen!R23,(R23*Eingabe!$H$75+Berechnungen!Q23*Eingabe!$H$74)/100)</f>
        <v>0.17096396740426464</v>
      </c>
      <c r="T23" s="428">
        <f>(P23*Eingabe!$H$75+Berechnungen!Q23*Eingabe!$H$74)/100</f>
        <v>0.20453507373092022</v>
      </c>
      <c r="U23" s="133"/>
      <c r="V23" s="429">
        <f>IF(Eingabe!$H$114*Eingabe!$H$74/100&gt;25000,IF((Eingabe!$H$114*Eingabe!$H$74/100-25000)*0.015&lt;=50,0,(Eingabe!$H$114*Eingabe!$H$74/100-25000)*0.015),0)</f>
        <v>0</v>
      </c>
      <c r="W23" s="430">
        <f t="shared" si="8"/>
        <v>20.453507373092023</v>
      </c>
      <c r="X23" s="431">
        <f>P23*Eingabe!$H$75/100</f>
        <v>3.3571106326655602E-2</v>
      </c>
      <c r="Y23" s="431">
        <f>Q23*Eingabe!$H$74/100</f>
        <v>0.17096396740426464</v>
      </c>
      <c r="Z23" s="112"/>
      <c r="AA23" s="116">
        <f>F23/(1+(Eingabe!H$108/100))^B23</f>
        <v>34.615384615384606</v>
      </c>
      <c r="AB23" s="117">
        <f t="shared" si="9"/>
        <v>7645.3846153846171</v>
      </c>
      <c r="AC23" s="115">
        <f t="shared" si="10"/>
        <v>7770.9289967109125</v>
      </c>
      <c r="AD23" s="115">
        <f t="shared" si="11"/>
        <v>70808.871328400914</v>
      </c>
      <c r="AE23" s="432">
        <f t="shared" si="12"/>
        <v>0.1097451329321507</v>
      </c>
      <c r="AF23" s="432">
        <f t="shared" si="13"/>
        <v>0.10797212936676354</v>
      </c>
      <c r="AG23" s="112">
        <f t="shared" si="14"/>
        <v>0.10797212936676354</v>
      </c>
      <c r="AH23" s="112">
        <f t="shared" si="4"/>
        <v>0</v>
      </c>
      <c r="AI23" s="112">
        <v>12</v>
      </c>
      <c r="AJ23" s="412">
        <f>AF23*(1+(Eingabe!H$108/100))^AI23</f>
        <v>0.17286685782354616</v>
      </c>
      <c r="AK23" s="112"/>
      <c r="AL23" s="112"/>
      <c r="AM23" s="100"/>
      <c r="AN23" s="100"/>
      <c r="AO23" s="100"/>
      <c r="AP23" s="410"/>
    </row>
    <row r="24" spans="1:42" x14ac:dyDescent="0.2">
      <c r="A24" s="3"/>
      <c r="B24" s="246">
        <v>13</v>
      </c>
      <c r="C24" s="247">
        <f t="shared" si="5"/>
        <v>0.20862577520553871</v>
      </c>
      <c r="D24" s="248">
        <f>Eingabe!$H$114*1/(1+(Eingabe!H$100/100))^B23</f>
        <v>5711.6640698323763</v>
      </c>
      <c r="E24" s="248">
        <f t="shared" si="6"/>
        <v>1191.6003442824017</v>
      </c>
      <c r="F24" s="248">
        <f>(Eingabe!H$90*(Eingabe!H$99/100))*((1+(Eingabe!H$104/100))^B23)+IF(Eingabe!G97="einmal",Eingabe!H97,0)+(Eingabe!H98*Eingabe!H37)</f>
        <v>3557.6371598684364</v>
      </c>
      <c r="G24" s="248">
        <f>IF(AND(Eingabe!$J$89&lt;=Berechnungen!B24,(Eingabe!$J$89+Eingabe!$J$90)&gt;B24),(Eingabe!$H$94*(1-Eingabe!$H$88))/Eingabe!$J$90,0)</f>
        <v>0</v>
      </c>
      <c r="H24" s="248">
        <f>((Eingabe!$H$94*(1-Eingabe!$H$88))-SUM($G$11:G23))*Eingabe!$I$88</f>
        <v>0</v>
      </c>
      <c r="I24" s="248">
        <f t="shared" si="15"/>
        <v>0</v>
      </c>
      <c r="J24" s="248">
        <f t="shared" si="1"/>
        <v>-2366.0368155860347</v>
      </c>
      <c r="K24" s="248">
        <f>J24/(1+(Eingabe!H$108/100))^B24</f>
        <v>-1420.9803982815865</v>
      </c>
      <c r="L24" s="248">
        <f t="shared" si="2"/>
        <v>1033.4552338936096</v>
      </c>
      <c r="M24" s="436">
        <f t="shared" si="7"/>
        <v>0</v>
      </c>
      <c r="N24" s="112">
        <v>14</v>
      </c>
      <c r="O24" s="428">
        <f>IF(Eingabe!$H$63=Eingabe!$C$171,IF(R24&lt;&gt;0,IF(Eingabe!$I$67=Eingabe!$C$202,S24,R24),P24),IF(Eingabe!$H$63=Eingabe!$C$173,T24,IF(Eingabe!$H$63=Eingabe!$C$172,T24,IF(Eingabe!$H$63=Eingabe!$C$174,T24,"Zuordnung!"))))</f>
        <v>0.20862577520553871</v>
      </c>
      <c r="P24" s="428">
        <f>Eingabe!H$106*(1+(Eingabe!H$107/100))^B23</f>
        <v>7.6094507673752712E-2</v>
      </c>
      <c r="Q24" s="428">
        <f>Eingabe!H$105*(1+(Eingabe!H$107/100))^B23</f>
        <v>0.31706044864063632</v>
      </c>
      <c r="R24" s="428">
        <f t="shared" si="3"/>
        <v>0</v>
      </c>
      <c r="S24" s="428">
        <f>IF(Eingabe!$I$67="Volleinspeisung",Berechnungen!R24,(R24*Eingabe!$H$75+Berechnungen!Q24*Eingabe!$H$74)/100)</f>
        <v>0.17438324675234998</v>
      </c>
      <c r="T24" s="428">
        <f>(P24*Eingabe!$H$75+Berechnungen!Q24*Eingabe!$H$74)/100</f>
        <v>0.20862577520553871</v>
      </c>
      <c r="U24" s="133"/>
      <c r="V24" s="429">
        <f>IF(Eingabe!$H$114*Eingabe!$H$74/100&gt;25000,IF((Eingabe!$H$114*Eingabe!$H$74/100-25000)*0.015&lt;=50,0,(Eingabe!$H$114*Eingabe!$H$74/100-25000)*0.015),0)</f>
        <v>0</v>
      </c>
      <c r="W24" s="430">
        <f t="shared" si="8"/>
        <v>20.86257752055387</v>
      </c>
      <c r="X24" s="431">
        <f>P24*Eingabe!$H$75/100</f>
        <v>3.4242528453188717E-2</v>
      </c>
      <c r="Y24" s="431">
        <f>Q24*Eingabe!$H$74/100</f>
        <v>0.17438324675234998</v>
      </c>
      <c r="Z24" s="112"/>
      <c r="AA24" s="116">
        <f>F24/(1+(Eingabe!H$108/100))^B24</f>
        <v>2136.6246860867577</v>
      </c>
      <c r="AB24" s="117">
        <f t="shared" si="9"/>
        <v>9782.0093014713748</v>
      </c>
      <c r="AC24" s="115">
        <f t="shared" si="10"/>
        <v>11328.566156579349</v>
      </c>
      <c r="AD24" s="115">
        <f t="shared" si="11"/>
        <v>76520.535398233289</v>
      </c>
      <c r="AE24" s="432">
        <f t="shared" si="12"/>
        <v>0.14804609112602868</v>
      </c>
      <c r="AF24" s="432">
        <f t="shared" si="13"/>
        <v>0.12783508702027746</v>
      </c>
      <c r="AG24" s="112">
        <f t="shared" si="14"/>
        <v>0.12783508702027746</v>
      </c>
      <c r="AH24" s="112">
        <f t="shared" si="4"/>
        <v>0</v>
      </c>
      <c r="AI24" s="112">
        <v>13</v>
      </c>
      <c r="AJ24" s="412">
        <f>AF24*(1+(Eingabe!H$108/100))^AI24</f>
        <v>0.21285481670218218</v>
      </c>
      <c r="AK24" s="112"/>
      <c r="AL24" s="112"/>
      <c r="AM24" s="100"/>
      <c r="AN24" s="100"/>
      <c r="AO24" s="100"/>
      <c r="AP24" s="410"/>
    </row>
    <row r="25" spans="1:42" x14ac:dyDescent="0.2">
      <c r="A25" s="3"/>
      <c r="B25" s="246">
        <v>14</v>
      </c>
      <c r="C25" s="247">
        <f t="shared" si="5"/>
        <v>0.21279829070964942</v>
      </c>
      <c r="D25" s="248">
        <f>Eingabe!$H$114*1/(1+(Eingabe!H$100/100))^B24</f>
        <v>5683.2478306789826</v>
      </c>
      <c r="E25" s="248">
        <f t="shared" si="6"/>
        <v>1209.3854240478106</v>
      </c>
      <c r="F25" s="248">
        <f>(Eingabe!H$90*(Eingabe!H$99/100))*((1+(Eingabe!H$104/100))^B24)+IF(Eingabe!G97="dreimal",Eingabe!H97,0)+(Eingabe!H98*Eingabe!H37)</f>
        <v>59.942646263174005</v>
      </c>
      <c r="G25" s="248">
        <f>IF(AND(Eingabe!$J$89&lt;=Berechnungen!B25,(Eingabe!$J$89+Eingabe!$J$90)&gt;B25),(Eingabe!$H$94*(1-Eingabe!$H$88))/Eingabe!$J$90,0)</f>
        <v>0</v>
      </c>
      <c r="H25" s="248">
        <f>((Eingabe!$H$94*(1-Eingabe!$H$88))-SUM($G$11:G24))*Eingabe!$I$88</f>
        <v>0</v>
      </c>
      <c r="I25" s="248">
        <f t="shared" si="15"/>
        <v>0</v>
      </c>
      <c r="J25" s="248">
        <f t="shared" si="1"/>
        <v>1149.4427777846365</v>
      </c>
      <c r="K25" s="248">
        <f>J25/(1+(Eingabe!H$108/100))^B25</f>
        <v>663.77456330010943</v>
      </c>
      <c r="L25" s="248">
        <f t="shared" si="2"/>
        <v>1697.2297971937192</v>
      </c>
      <c r="M25" s="436">
        <f t="shared" si="7"/>
        <v>0</v>
      </c>
      <c r="N25" s="112">
        <v>15</v>
      </c>
      <c r="O25" s="428">
        <f>IF(Eingabe!$H$63=Eingabe!$C$171,IF(R25&lt;&gt;0,IF(Eingabe!$I$67=Eingabe!$C$202,S25,R25),P25),IF(Eingabe!$H$63=Eingabe!$C$173,T25,IF(Eingabe!$H$63=Eingabe!$C$172,T25,IF(Eingabe!$H$63=Eingabe!$C$174,T25,"Zuordnung!"))))</f>
        <v>0.21279829070964942</v>
      </c>
      <c r="P25" s="428">
        <f>Eingabe!H$106*(1+(Eingabe!H$107/100))^B24</f>
        <v>7.7616397827227762E-2</v>
      </c>
      <c r="Q25" s="428">
        <f>Eingabe!H$105*(1+(Eingabe!H$107/100))^B24</f>
        <v>0.32340165761344902</v>
      </c>
      <c r="R25" s="428">
        <f>IF(Eingabe!$H$67="Überschusseinspeisung",S25,P25)</f>
        <v>7.7616397827227762E-2</v>
      </c>
      <c r="S25" s="428">
        <f>IF(Eingabe!$H$67="Überschusseinspeisung",T25,P25)</f>
        <v>7.7616397827227762E-2</v>
      </c>
      <c r="T25" s="428">
        <f>(P25*Eingabe!$H$75+Berechnungen!Q25*Eingabe!$H$74)/100</f>
        <v>0.21279829070964942</v>
      </c>
      <c r="U25" s="133"/>
      <c r="V25" s="429">
        <f>IF(Eingabe!$H$114*Eingabe!$H$74/100&gt;25000,IF((Eingabe!$H$114*Eingabe!$H$74/100-25000)*0.015&lt;=50,0,(Eingabe!$H$114*Eingabe!$H$74/100-25000)*0.015),0)</f>
        <v>0</v>
      </c>
      <c r="W25" s="430">
        <f t="shared" si="8"/>
        <v>21.279829070964944</v>
      </c>
      <c r="X25" s="431">
        <f>P25*Eingabe!$H$75/100</f>
        <v>3.4927379022252493E-2</v>
      </c>
      <c r="Y25" s="431">
        <f>Q25*Eingabe!$H$74/100</f>
        <v>0.17787091168739697</v>
      </c>
      <c r="Z25" s="112"/>
      <c r="AA25" s="116">
        <f>F25/(1+(Eingabe!H$108/100))^B25</f>
        <v>34.615384615384613</v>
      </c>
      <c r="AB25" s="117">
        <f t="shared" si="9"/>
        <v>9816.6246860867595</v>
      </c>
      <c r="AC25" s="115">
        <f t="shared" si="10"/>
        <v>11388.508802842523</v>
      </c>
      <c r="AD25" s="115">
        <f t="shared" si="11"/>
        <v>82203.783228912274</v>
      </c>
      <c r="AE25" s="432">
        <f t="shared" si="12"/>
        <v>0.13853995954333423</v>
      </c>
      <c r="AF25" s="432">
        <f t="shared" si="13"/>
        <v>0.11941816179859359</v>
      </c>
      <c r="AG25" s="112">
        <f t="shared" si="14"/>
        <v>0.11941816179859359</v>
      </c>
      <c r="AH25" s="112">
        <f t="shared" si="4"/>
        <v>0</v>
      </c>
      <c r="AI25" s="112">
        <v>14</v>
      </c>
      <c r="AJ25" s="412">
        <f>AF25*(1+(Eingabe!H$108/100))^AI25</f>
        <v>0.2067936182026455</v>
      </c>
      <c r="AK25" s="112"/>
      <c r="AL25" s="112"/>
      <c r="AM25" s="100"/>
      <c r="AN25" s="100"/>
      <c r="AO25" s="100"/>
      <c r="AP25" s="410"/>
    </row>
    <row r="26" spans="1:42" x14ac:dyDescent="0.2">
      <c r="A26" s="3"/>
      <c r="B26" s="246">
        <v>15</v>
      </c>
      <c r="C26" s="247">
        <f t="shared" si="5"/>
        <v>0.21705425652384247</v>
      </c>
      <c r="D26" s="248">
        <f>Eingabe!$H$114*1/(1+(Eingabe!H$100/100))^B25</f>
        <v>5654.9729658497345</v>
      </c>
      <c r="E26" s="248">
        <f t="shared" si="6"/>
        <v>1227.4359527649426</v>
      </c>
      <c r="F26" s="248">
        <f>(Eingabe!H$90*(Eingabe!H$99/100))*((1+(Eingabe!H$104/100))^B25)+(Eingabe!H98*Eingabe!H37)</f>
        <v>62.340352113700966</v>
      </c>
      <c r="G26" s="248">
        <f>IF(AND(Eingabe!$J$89&lt;=Berechnungen!B26,(Eingabe!$J$89+Eingabe!$J$90)&gt;B26),(Eingabe!$H$94*(1-Eingabe!$H$88))/Eingabe!$J$90,0)</f>
        <v>0</v>
      </c>
      <c r="H26" s="248">
        <f>((Eingabe!$H$94*(1-Eingabe!$H$88))-SUM($G$11:G25))*Eingabe!$I$88</f>
        <v>0</v>
      </c>
      <c r="I26" s="248">
        <f t="shared" si="15"/>
        <v>0</v>
      </c>
      <c r="J26" s="248">
        <f t="shared" si="1"/>
        <v>1165.0956006512417</v>
      </c>
      <c r="K26" s="248">
        <f>J26/(1+(Eingabe!H$108/100))^B26</f>
        <v>646.93622930903598</v>
      </c>
      <c r="L26" s="248">
        <f t="shared" si="2"/>
        <v>2344.1660265027549</v>
      </c>
      <c r="M26" s="436">
        <f t="shared" si="7"/>
        <v>0</v>
      </c>
      <c r="N26" s="112">
        <v>16</v>
      </c>
      <c r="O26" s="428">
        <f>IF(Eingabe!$H$63=Eingabe!$C$171,IF(R26&lt;&gt;0,IF(Eingabe!$I$67=Eingabe!$C$202,S26,R26),P26),IF(Eingabe!$H$63=Eingabe!$C$173,T26,IF(Eingabe!$H$63=Eingabe!$C$172,T26,IF(Eingabe!$H$63=Eingabe!$C$174,T26,"Zuordnung!"))))</f>
        <v>0.21705425652384247</v>
      </c>
      <c r="P26" s="428">
        <f>Eingabe!H$106*(1+(Eingabe!H$107/100))^B25</f>
        <v>7.916872578377232E-2</v>
      </c>
      <c r="Q26" s="428">
        <f>Eingabe!H$105*(1+(Eingabe!H$107/100))^B25</f>
        <v>0.32986969076571804</v>
      </c>
      <c r="R26" s="428">
        <f>IF(Eingabe!$H$67="Überschusseinspeisung",S26,P26)</f>
        <v>7.916872578377232E-2</v>
      </c>
      <c r="S26" s="428">
        <f>IF(Eingabe!$H$67="Überschusseinspeisung",T26,P26)</f>
        <v>7.916872578377232E-2</v>
      </c>
      <c r="T26" s="428">
        <f>(P26*Eingabe!$H$75+Berechnungen!Q26*Eingabe!$H$74)/100</f>
        <v>0.21705425652384247</v>
      </c>
      <c r="U26" s="133"/>
      <c r="V26" s="429">
        <f>IF(Eingabe!$H$114*Eingabe!$H$74/100&gt;25000,IF((Eingabe!$H$114*Eingabe!$H$74/100-25000)*0.015&lt;=50,0,(Eingabe!$H$114*Eingabe!$H$74/100-25000)*0.015),0)</f>
        <v>0</v>
      </c>
      <c r="W26" s="430">
        <f t="shared" si="8"/>
        <v>21.705425652384246</v>
      </c>
      <c r="X26" s="431">
        <f>P26*Eingabe!$H$75/100</f>
        <v>3.5625926602697547E-2</v>
      </c>
      <c r="Y26" s="431">
        <f>Q26*Eingabe!$H$74/100</f>
        <v>0.18142832992114491</v>
      </c>
      <c r="Z26" s="112"/>
      <c r="AA26" s="116">
        <f>F26/(1+(Eingabe!H$108/100))^B26</f>
        <v>34.615384615384613</v>
      </c>
      <c r="AB26" s="117">
        <f t="shared" si="9"/>
        <v>9851.2400707021443</v>
      </c>
      <c r="AC26" s="115">
        <f t="shared" si="10"/>
        <v>11450.849154956224</v>
      </c>
      <c r="AD26" s="115">
        <f t="shared" si="11"/>
        <v>87858.756194762012</v>
      </c>
      <c r="AE26" s="432">
        <f t="shared" si="12"/>
        <v>0.13033247511007792</v>
      </c>
      <c r="AF26" s="432">
        <f t="shared" si="13"/>
        <v>0.11212587677503974</v>
      </c>
      <c r="AG26" s="112">
        <f t="shared" si="14"/>
        <v>0.11212587677503974</v>
      </c>
      <c r="AH26" s="112">
        <f t="shared" si="4"/>
        <v>0</v>
      </c>
      <c r="AI26" s="112">
        <v>15</v>
      </c>
      <c r="AJ26" s="412">
        <f>AF26*(1+(Eingabe!H$108/100))^AI26</f>
        <v>0.20193236957727664</v>
      </c>
      <c r="AK26" s="112"/>
      <c r="AL26" s="112"/>
      <c r="AM26" s="100"/>
      <c r="AN26" s="100"/>
      <c r="AO26" s="100"/>
      <c r="AP26" s="410"/>
    </row>
    <row r="27" spans="1:42" x14ac:dyDescent="0.2">
      <c r="A27" s="3"/>
      <c r="B27" s="246">
        <v>16</v>
      </c>
      <c r="C27" s="247">
        <f t="shared" si="5"/>
        <v>0.22139534165431926</v>
      </c>
      <c r="D27" s="248">
        <f>Eingabe!$H$114*1/(1+(Eingabe!H$100/100))^B26</f>
        <v>5626.8387719897873</v>
      </c>
      <c r="E27" s="248">
        <f t="shared" si="6"/>
        <v>1245.7558923584493</v>
      </c>
      <c r="F27" s="248">
        <f>(Eingabe!H$90*(Eingabe!H$99/100))*((1+(Eingabe!H$104/100))^B26)+(Eingabe!H98*Eingabe!H37)</f>
        <v>64.833966198249001</v>
      </c>
      <c r="G27" s="248">
        <f>IF(AND(Eingabe!$J$89&lt;=Berechnungen!B27,(Eingabe!$J$89+Eingabe!$J$90)&gt;B27),(Eingabe!$H$94*(1-Eingabe!$H$88))/Eingabe!$J$90,0)</f>
        <v>0</v>
      </c>
      <c r="H27" s="248">
        <f>((Eingabe!$H$94*(1-Eingabe!$H$88))-SUM($G$11:G26))*Eingabe!$I$88</f>
        <v>0</v>
      </c>
      <c r="I27" s="248">
        <f t="shared" si="15"/>
        <v>0</v>
      </c>
      <c r="J27" s="248">
        <f t="shared" si="1"/>
        <v>1180.9219261602002</v>
      </c>
      <c r="K27" s="248">
        <f>J27/(1+(Eingabe!H$108/100))^B27</f>
        <v>630.503871223602</v>
      </c>
      <c r="L27" s="248">
        <f t="shared" si="2"/>
        <v>2974.6698977263568</v>
      </c>
      <c r="M27" s="436">
        <f t="shared" si="7"/>
        <v>0</v>
      </c>
      <c r="N27" s="112">
        <v>17</v>
      </c>
      <c r="O27" s="428">
        <f>IF(Eingabe!$H$63=Eingabe!$C$171,IF(R27&lt;&gt;0,IF(Eingabe!$I$67=Eingabe!$C$202,S27,R27),P27),IF(Eingabe!$H$63=Eingabe!$C$173,T27,IF(Eingabe!$H$63=Eingabe!$C$172,T27,IF(Eingabe!$H$63=Eingabe!$C$174,T27,"Zuordnung!"))))</f>
        <v>0.22139534165431926</v>
      </c>
      <c r="P27" s="428">
        <f>Eingabe!H$106*(1+(Eingabe!H$107/100))^B26</f>
        <v>8.0752100299447752E-2</v>
      </c>
      <c r="Q27" s="428">
        <f>Eingabe!H$105*(1+(Eingabe!H$107/100))^B26</f>
        <v>0.33646708458103231</v>
      </c>
      <c r="R27" s="428">
        <f>IF(Eingabe!$H$67="Überschusseinspeisung",S27,P27)</f>
        <v>8.0752100299447752E-2</v>
      </c>
      <c r="S27" s="428">
        <f>IF(Eingabe!$H$67="Überschusseinspeisung",T27,P27)</f>
        <v>8.0752100299447752E-2</v>
      </c>
      <c r="T27" s="428">
        <f>(P27*Eingabe!$H$75+Berechnungen!Q27*Eingabe!$H$74)/100</f>
        <v>0.22139534165431926</v>
      </c>
      <c r="U27" s="133"/>
      <c r="V27" s="429">
        <f>IF(Eingabe!$H$114*Eingabe!$H$74/100&gt;25000,IF((Eingabe!$H$114*Eingabe!$H$74/100-25000)*0.015&lt;=50,0,(Eingabe!$H$114*Eingabe!$H$74/100-25000)*0.015),0)</f>
        <v>0</v>
      </c>
      <c r="W27" s="430">
        <f t="shared" si="8"/>
        <v>22.139534165431925</v>
      </c>
      <c r="X27" s="431">
        <f>P27*Eingabe!$H$75/100</f>
        <v>3.6338445134751492E-2</v>
      </c>
      <c r="Y27" s="431">
        <f>Q27*Eingabe!$H$74/100</f>
        <v>0.18505689651956775</v>
      </c>
      <c r="Z27" s="112"/>
      <c r="AA27" s="116">
        <f>F27/(1+(Eingabe!H$108/100))^B27</f>
        <v>34.615384615384606</v>
      </c>
      <c r="AB27" s="117">
        <f t="shared" si="9"/>
        <v>9885.855455317529</v>
      </c>
      <c r="AC27" s="115">
        <f t="shared" si="10"/>
        <v>11515.683121154472</v>
      </c>
      <c r="AD27" s="115">
        <f t="shared" si="11"/>
        <v>93485.5949667518</v>
      </c>
      <c r="AE27" s="432">
        <f t="shared" si="12"/>
        <v>0.12318136420108393</v>
      </c>
      <c r="AF27" s="432">
        <f t="shared" si="13"/>
        <v>0.10574736630636451</v>
      </c>
      <c r="AG27" s="112">
        <f t="shared" si="14"/>
        <v>0.10574736630636451</v>
      </c>
      <c r="AH27" s="112">
        <f t="shared" si="4"/>
        <v>0</v>
      </c>
      <c r="AI27" s="112">
        <v>16</v>
      </c>
      <c r="AJ27" s="412">
        <f>AF27*(1+(Eingabe!H$108/100))^AI27</f>
        <v>0.19806283387686446</v>
      </c>
      <c r="AK27" s="112"/>
      <c r="AL27" s="112"/>
      <c r="AM27" s="100"/>
      <c r="AN27" s="100"/>
      <c r="AO27" s="100"/>
      <c r="AP27" s="410"/>
    </row>
    <row r="28" spans="1:42" x14ac:dyDescent="0.2">
      <c r="A28" s="3"/>
      <c r="B28" s="246">
        <v>17</v>
      </c>
      <c r="C28" s="247">
        <f t="shared" si="5"/>
        <v>0.2258232484874057</v>
      </c>
      <c r="D28" s="248">
        <f>Eingabe!$H$114*1/(1+(Eingabe!H$100/100))^B27</f>
        <v>5598.8445492435694</v>
      </c>
      <c r="E28" s="248">
        <f t="shared" si="6"/>
        <v>1264.3492638861876</v>
      </c>
      <c r="F28" s="248">
        <f>(Eingabe!H$90*(Eingabe!H$99/100))*((1+(Eingabe!H$104/100))^B27)+(Eingabe!H98*Eingabe!H37)</f>
        <v>67.427324846178976</v>
      </c>
      <c r="G28" s="248">
        <f>IF(AND(Eingabe!$J$89&lt;=Berechnungen!B28,(Eingabe!$J$89+Eingabe!$J$90)&gt;B28),(Eingabe!$H$94*(1-Eingabe!$H$88))/Eingabe!$J$90,0)</f>
        <v>0</v>
      </c>
      <c r="H28" s="248">
        <f>((Eingabe!$H$94*(1-Eingabe!$H$88))-SUM($G$11:G27))*Eingabe!$I$88</f>
        <v>0</v>
      </c>
      <c r="I28" s="248">
        <f t="shared" si="15"/>
        <v>0</v>
      </c>
      <c r="J28" s="248">
        <f t="shared" si="1"/>
        <v>1196.9219390400085</v>
      </c>
      <c r="K28" s="248">
        <f>J28/(1+(Eingabe!H$108/100))^B28</f>
        <v>614.4677008761638</v>
      </c>
      <c r="L28" s="248">
        <f t="shared" si="2"/>
        <v>3589.1375986025205</v>
      </c>
      <c r="M28" s="436">
        <f t="shared" si="7"/>
        <v>0</v>
      </c>
      <c r="N28" s="112">
        <v>18</v>
      </c>
      <c r="O28" s="428">
        <f>IF(Eingabe!$H$63=Eingabe!$C$171,IF(R28&lt;&gt;0,IF(Eingabe!$I$67=Eingabe!$C$202,S28,R28),P28),IF(Eingabe!$H$63=Eingabe!$C$173,T28,IF(Eingabe!$H$63=Eingabe!$C$172,T28,IF(Eingabe!$H$63=Eingabe!$C$174,T28,"Zuordnung!"))))</f>
        <v>0.2258232484874057</v>
      </c>
      <c r="P28" s="428">
        <f>Eingabe!H$106*(1+(Eingabe!H$107/100))^B27</f>
        <v>8.2367142305436722E-2</v>
      </c>
      <c r="Q28" s="428">
        <f>Eingabe!H$105*(1+(Eingabe!H$107/100))^B27</f>
        <v>0.34319642627265301</v>
      </c>
      <c r="R28" s="428">
        <f>IF(Eingabe!$H$67="Überschusseinspeisung",S28,P28)</f>
        <v>8.2367142305436722E-2</v>
      </c>
      <c r="S28" s="428">
        <f>IF(Eingabe!$H$67="Überschusseinspeisung",T28,P28)</f>
        <v>8.2367142305436722E-2</v>
      </c>
      <c r="T28" s="428">
        <f>(P28*Eingabe!$H$75+Berechnungen!Q28*Eingabe!$H$74)/100</f>
        <v>0.2258232484874057</v>
      </c>
      <c r="U28" s="133"/>
      <c r="V28" s="429">
        <f>IF(Eingabe!$H$114*Eingabe!$H$74/100&gt;25000,IF((Eingabe!$H$114*Eingabe!$H$74/100-25000)*0.015&lt;=50,0,(Eingabe!$H$114*Eingabe!$H$74/100-25000)*0.015),0)</f>
        <v>0</v>
      </c>
      <c r="W28" s="430">
        <f t="shared" si="8"/>
        <v>22.582324848740569</v>
      </c>
      <c r="X28" s="431">
        <f>P28*Eingabe!$H$75/100</f>
        <v>3.7065214037446524E-2</v>
      </c>
      <c r="Y28" s="431">
        <f>Q28*Eingabe!$H$74/100</f>
        <v>0.18875803444995917</v>
      </c>
      <c r="Z28" s="112"/>
      <c r="AA28" s="116">
        <f>F28/(1+(Eingabe!H$108/100))^B28</f>
        <v>34.615384615384613</v>
      </c>
      <c r="AB28" s="117">
        <f t="shared" si="9"/>
        <v>9920.4708399329138</v>
      </c>
      <c r="AC28" s="115">
        <f t="shared" si="10"/>
        <v>11583.110446000652</v>
      </c>
      <c r="AD28" s="115">
        <f t="shared" si="11"/>
        <v>99084.439515995371</v>
      </c>
      <c r="AE28" s="432">
        <f t="shared" si="12"/>
        <v>0.1169014075528052</v>
      </c>
      <c r="AF28" s="432">
        <f t="shared" si="13"/>
        <v>0.10012138019241089</v>
      </c>
      <c r="AG28" s="112">
        <f t="shared" si="14"/>
        <v>0.10012138019241089</v>
      </c>
      <c r="AH28" s="112">
        <f t="shared" si="4"/>
        <v>0</v>
      </c>
      <c r="AI28" s="112">
        <v>17</v>
      </c>
      <c r="AJ28" s="412">
        <f>AF28*(1+(Eingabe!H$108/100))^AI28</f>
        <v>0.19502648609257603</v>
      </c>
      <c r="AK28" s="112"/>
      <c r="AL28" s="112"/>
      <c r="AM28" s="100"/>
      <c r="AN28" s="100"/>
      <c r="AO28" s="100"/>
      <c r="AP28" s="410"/>
    </row>
    <row r="29" spans="1:42" x14ac:dyDescent="0.2">
      <c r="A29" s="3"/>
      <c r="B29" s="246">
        <v>18</v>
      </c>
      <c r="C29" s="247">
        <f t="shared" si="5"/>
        <v>0.23033971345715379</v>
      </c>
      <c r="D29" s="248">
        <f>Eingabe!$H$114*1/(1+(Eingabe!H$100/100))^B28</f>
        <v>5570.9896012373829</v>
      </c>
      <c r="E29" s="248">
        <f t="shared" si="6"/>
        <v>1283.2201484218022</v>
      </c>
      <c r="F29" s="248">
        <f>(Eingabe!H$90*(Eingabe!H$99/100))*((1+(Eingabe!H$104/100))^B28)+IF(Eingabe!G97="viermal",Eingabe!H97,0)+(Eingabe!H98*Eingabe!H37)</f>
        <v>70.12441784002614</v>
      </c>
      <c r="G29" s="248">
        <f>IF(AND(Eingabe!$J$89&lt;=Berechnungen!B29,(Eingabe!$J$89+Eingabe!$J$90)&gt;B29),(Eingabe!$H$94*(1-Eingabe!$H$88))/Eingabe!$J$90,0)</f>
        <v>0</v>
      </c>
      <c r="H29" s="248">
        <f>((Eingabe!$H$94*(1-Eingabe!$H$88))-SUM($G$11:G28))*Eingabe!$I$88</f>
        <v>0</v>
      </c>
      <c r="I29" s="248">
        <f t="shared" si="15"/>
        <v>0</v>
      </c>
      <c r="J29" s="248">
        <f t="shared" si="1"/>
        <v>1213.095730581776</v>
      </c>
      <c r="K29" s="248">
        <f>J29/(1+(Eingabe!H$108/100))^B29</f>
        <v>598.81816609393354</v>
      </c>
      <c r="L29" s="248">
        <f t="shared" si="2"/>
        <v>4187.955764696454</v>
      </c>
      <c r="M29" s="436">
        <f t="shared" si="7"/>
        <v>0</v>
      </c>
      <c r="N29" s="112">
        <v>19</v>
      </c>
      <c r="O29" s="428">
        <f>IF(Eingabe!$H$63=Eingabe!$C$171,IF(R29&lt;&gt;0,IF(Eingabe!$I$67=Eingabe!$C$202,S29,R29),P29),IF(Eingabe!$H$63=Eingabe!$C$173,T29,IF(Eingabe!$H$63=Eingabe!$C$172,T29,IF(Eingabe!$H$63=Eingabe!$C$174,T29,"Zuordnung!"))))</f>
        <v>0.23033971345715379</v>
      </c>
      <c r="P29" s="428">
        <f>Eingabe!H$106*(1+(Eingabe!H$107/100))^B28</f>
        <v>8.4014485151545457E-2</v>
      </c>
      <c r="Q29" s="428">
        <f>Eingabe!H$105*(1+(Eingabe!H$107/100))^B28</f>
        <v>0.3500603547981061</v>
      </c>
      <c r="R29" s="428">
        <f>IF(Eingabe!$H$67="Überschusseinspeisung",S29,P29)</f>
        <v>8.4014485151545457E-2</v>
      </c>
      <c r="S29" s="428">
        <f>IF(Eingabe!$H$67="Überschusseinspeisung",T29,P29)</f>
        <v>8.4014485151545457E-2</v>
      </c>
      <c r="T29" s="428">
        <f>(P29*Eingabe!$H$75+Berechnungen!Q29*Eingabe!$H$74)/100</f>
        <v>0.23033971345715379</v>
      </c>
      <c r="U29" s="133"/>
      <c r="V29" s="429">
        <f>IF(Eingabe!$H$114*Eingabe!$H$74/100&gt;25000,IF((Eingabe!$H$114*Eingabe!$H$74/100-25000)*0.015&lt;=50,0,(Eingabe!$H$114*Eingabe!$H$74/100-25000)*0.015),0)</f>
        <v>0</v>
      </c>
      <c r="W29" s="430">
        <f t="shared" si="8"/>
        <v>23.033971345715379</v>
      </c>
      <c r="X29" s="431">
        <f>P29*Eingabe!$H$75/100</f>
        <v>3.7806518318195453E-2</v>
      </c>
      <c r="Y29" s="431">
        <f>Q29*Eingabe!$H$74/100</f>
        <v>0.19253319513895836</v>
      </c>
      <c r="Z29" s="112"/>
      <c r="AA29" s="116">
        <f>F29/(1+(Eingabe!H$108/100))^B29</f>
        <v>34.615384615384613</v>
      </c>
      <c r="AB29" s="117">
        <f t="shared" si="9"/>
        <v>9955.0862245482986</v>
      </c>
      <c r="AC29" s="115">
        <f t="shared" si="10"/>
        <v>11653.234863840678</v>
      </c>
      <c r="AD29" s="115">
        <f t="shared" si="11"/>
        <v>104655.42911723275</v>
      </c>
      <c r="AE29" s="432">
        <f t="shared" si="12"/>
        <v>0.11134859378185699</v>
      </c>
      <c r="AF29" s="432">
        <f t="shared" si="13"/>
        <v>9.512250160855798E-2</v>
      </c>
      <c r="AG29" s="112">
        <f t="shared" si="14"/>
        <v>9.512250160855798E-2</v>
      </c>
      <c r="AH29" s="112">
        <f t="shared" si="4"/>
        <v>0</v>
      </c>
      <c r="AI29" s="112">
        <v>18</v>
      </c>
      <c r="AJ29" s="412">
        <f>AF29*(1+(Eingabe!H$108/100))^AI29</f>
        <v>0.19270073474273783</v>
      </c>
      <c r="AK29" s="112"/>
      <c r="AL29" s="112"/>
      <c r="AM29" s="100"/>
      <c r="AN29" s="100"/>
      <c r="AO29" s="100"/>
      <c r="AP29" s="410"/>
    </row>
    <row r="30" spans="1:42" x14ac:dyDescent="0.2">
      <c r="A30" s="3"/>
      <c r="B30" s="246">
        <v>19</v>
      </c>
      <c r="C30" s="247">
        <f t="shared" si="5"/>
        <v>0.23494650772629683</v>
      </c>
      <c r="D30" s="248">
        <f>Eingabe!$H$114*1/(1+(Eingabe!H$100/100))^B29</f>
        <v>5543.2732350620745</v>
      </c>
      <c r="E30" s="248">
        <f t="shared" si="6"/>
        <v>1302.3726879504861</v>
      </c>
      <c r="F30" s="248">
        <f>(Eingabe!H$90*(Eingabe!H$99/100))*((1+(Eingabe!H$104/100))^B29)+(Eingabe!H98*Eingabe!H37)</f>
        <v>72.929394553627191</v>
      </c>
      <c r="G30" s="248">
        <f>IF(AND(Eingabe!$J$89&lt;=Berechnungen!B30,(Eingabe!$J$89+Eingabe!$J$90)&gt;B30),(Eingabe!$H$94*(1-Eingabe!$H$88))/Eingabe!$J$90,0)</f>
        <v>0</v>
      </c>
      <c r="H30" s="248">
        <f>((Eingabe!$H$94*(1-Eingabe!$H$88))-SUM($G$11:G29))*Eingabe!$I$88</f>
        <v>0</v>
      </c>
      <c r="I30" s="248">
        <f t="shared" si="15"/>
        <v>0</v>
      </c>
      <c r="J30" s="248">
        <f t="shared" si="1"/>
        <v>1229.443293396859</v>
      </c>
      <c r="K30" s="248">
        <f>J30/(1+(Eingabe!H$108/100))^B30</f>
        <v>583.54594500909366</v>
      </c>
      <c r="L30" s="248">
        <f t="shared" si="2"/>
        <v>4771.5017097055479</v>
      </c>
      <c r="M30" s="436">
        <f t="shared" si="7"/>
        <v>0</v>
      </c>
      <c r="N30" s="112">
        <v>20</v>
      </c>
      <c r="O30" s="428">
        <f>IF(Eingabe!$H$63=Eingabe!$C$171,IF(R30&lt;&gt;0,IF(Eingabe!$I$67=Eingabe!$C$202,S30,R30),P30),IF(Eingabe!$H$63=Eingabe!$C$173,T30,IF(Eingabe!$H$63=Eingabe!$C$172,T30,IF(Eingabe!$H$63=Eingabe!$C$174,T30,"Zuordnung!"))))</f>
        <v>0.23494650772629683</v>
      </c>
      <c r="P30" s="428">
        <f>Eingabe!H$106*(1+(Eingabe!H$107/100))^B29</f>
        <v>8.5694774854576355E-2</v>
      </c>
      <c r="Q30" s="428">
        <f>Eingabe!H$105*(1+(Eingabe!H$107/100))^B29</f>
        <v>0.35706156189406818</v>
      </c>
      <c r="R30" s="428">
        <f>IF(Eingabe!$H$67="Überschusseinspeisung",S30,P30)</f>
        <v>8.5694774854576355E-2</v>
      </c>
      <c r="S30" s="428">
        <f>IF(Eingabe!$H$67="Überschusseinspeisung",T30,P30)</f>
        <v>8.5694774854576355E-2</v>
      </c>
      <c r="T30" s="428">
        <f>(P30*Eingabe!$H$75+Berechnungen!Q30*Eingabe!$H$74)/100</f>
        <v>0.23494650772629683</v>
      </c>
      <c r="U30" s="133"/>
      <c r="V30" s="429">
        <f>IF(Eingabe!$H$114*Eingabe!$H$74/100&gt;25000,IF((Eingabe!$H$114*Eingabe!$H$74/100-25000)*0.015&lt;=50,0,(Eingabe!$H$114*Eingabe!$H$74/100-25000)*0.015),0)</f>
        <v>0</v>
      </c>
      <c r="W30" s="430">
        <f t="shared" si="8"/>
        <v>23.494650772629683</v>
      </c>
      <c r="X30" s="431">
        <f>P30*Eingabe!$H$75/100</f>
        <v>3.8562648684559359E-2</v>
      </c>
      <c r="Y30" s="431">
        <f>Q30*Eingabe!$H$74/100</f>
        <v>0.1963838590417375</v>
      </c>
      <c r="Z30" s="112"/>
      <c r="AA30" s="116">
        <f>F30/(1+(Eingabe!H$108/100))^B30</f>
        <v>34.61538461538462</v>
      </c>
      <c r="AB30" s="117">
        <f t="shared" si="9"/>
        <v>9989.7016091636833</v>
      </c>
      <c r="AC30" s="115">
        <f t="shared" si="10"/>
        <v>11726.164258394305</v>
      </c>
      <c r="AD30" s="115">
        <f t="shared" si="11"/>
        <v>110198.70235229483</v>
      </c>
      <c r="AE30" s="432">
        <f t="shared" si="12"/>
        <v>0.10640927713383472</v>
      </c>
      <c r="AF30" s="432">
        <f t="shared" si="13"/>
        <v>9.0651717270023302E-2</v>
      </c>
      <c r="AG30" s="112">
        <f t="shared" si="14"/>
        <v>9.0651717270023302E-2</v>
      </c>
      <c r="AH30" s="112">
        <f t="shared" si="4"/>
        <v>0</v>
      </c>
      <c r="AI30" s="112">
        <v>19</v>
      </c>
      <c r="AJ30" s="412">
        <f>AF30*(1+(Eingabe!H$108/100))^AI30</f>
        <v>0.19098949583276012</v>
      </c>
      <c r="AK30" s="112"/>
      <c r="AL30" s="112"/>
      <c r="AM30" s="100"/>
      <c r="AN30" s="100"/>
      <c r="AO30" s="100"/>
      <c r="AP30" s="410"/>
    </row>
    <row r="31" spans="1:42" x14ac:dyDescent="0.2">
      <c r="A31" s="3"/>
      <c r="B31" s="246">
        <v>20</v>
      </c>
      <c r="C31" s="247">
        <f t="shared" si="5"/>
        <v>0.23964543788082282</v>
      </c>
      <c r="D31" s="248">
        <f>Eingabe!$H$114*1/(1+(Eingabe!H$100/100))^B30</f>
        <v>5515.694761255796</v>
      </c>
      <c r="E31" s="248">
        <f t="shared" si="6"/>
        <v>1321.8110862781057</v>
      </c>
      <c r="F31" s="248">
        <f>(Eingabe!H$90*(Eingabe!H$99/100))*((1+(Eingabe!H$104/100))^B30)+IF(Eingabe!G97="zweimal",Eingabe!H97,0)+(Eingabe!H98*Eingabe!H37)</f>
        <v>75.84657033577227</v>
      </c>
      <c r="G31" s="248">
        <f>IF(AND(Eingabe!$J$89&lt;=Berechnungen!B31,(Eingabe!$J$89+Eingabe!$J$90)&gt;B31),(Eingabe!$H$94*(1-Eingabe!$H$88))/Eingabe!$J$90,0)</f>
        <v>0</v>
      </c>
      <c r="H31" s="248">
        <f>((Eingabe!$H$94*(1-Eingabe!$H$88))-SUM($G$11:G30))*Eingabe!$I$88</f>
        <v>0</v>
      </c>
      <c r="I31" s="248">
        <f t="shared" si="15"/>
        <v>0</v>
      </c>
      <c r="J31" s="248">
        <f t="shared" si="1"/>
        <v>1245.9645159423335</v>
      </c>
      <c r="K31" s="248">
        <f>J31/(1+(Eingabe!H$108/100))^B31</f>
        <v>568.64194050609262</v>
      </c>
      <c r="L31" s="248">
        <f t="shared" si="2"/>
        <v>5340.1436502116403</v>
      </c>
      <c r="M31" s="436">
        <f t="shared" si="7"/>
        <v>0</v>
      </c>
      <c r="N31" s="112">
        <v>21</v>
      </c>
      <c r="O31" s="428">
        <f>IF(Eingabe!$H$63=Eingabe!$C$171,IF(R31&lt;&gt;0,IF(Eingabe!$I$67=Eingabe!$C$202,S31,R31),P31),IF(Eingabe!$H$63=Eingabe!$C$173,T31,IF(Eingabe!$H$63=Eingabe!$C$172,T31,IF(Eingabe!$H$63=Eingabe!$C$174,T31,"Zuordnung!"))))</f>
        <v>0.23964543788082282</v>
      </c>
      <c r="P31" s="428">
        <f>Eingabe!H$106*(1+(Eingabe!H$107/100))^B30</f>
        <v>8.7408670351667883E-2</v>
      </c>
      <c r="Q31" s="428">
        <f>Eingabe!H$105*(1+(Eingabe!H$107/100))^B30</f>
        <v>0.36420279313194953</v>
      </c>
      <c r="R31" s="428">
        <f>IF(Eingabe!$H$67="Überschusseinspeisung",S31,P31)</f>
        <v>8.7408670351667883E-2</v>
      </c>
      <c r="S31" s="428">
        <f>IF(Eingabe!$H$67="Überschusseinspeisung",T31,P31)</f>
        <v>8.7408670351667883E-2</v>
      </c>
      <c r="T31" s="428">
        <f>(P31*Eingabe!$H$75+Berechnungen!Q31*Eingabe!$H$74)/100</f>
        <v>0.23964543788082282</v>
      </c>
      <c r="U31" s="133"/>
      <c r="V31" s="429">
        <f>IF(Eingabe!$H$114*Eingabe!$H$74/100&gt;25000,IF((Eingabe!$H$114*Eingabe!$H$74/100-25000)*0.015&lt;=50,0,(Eingabe!$H$114*Eingabe!$H$74/100-25000)*0.015),0)</f>
        <v>0</v>
      </c>
      <c r="W31" s="430">
        <f t="shared" si="8"/>
        <v>23.964543788082281</v>
      </c>
      <c r="X31" s="431">
        <f>P31*Eingabe!$H$75/100</f>
        <v>3.9333901658250549E-2</v>
      </c>
      <c r="Y31" s="431">
        <f>Q31*Eingabe!$H$74/100</f>
        <v>0.20031153622257225</v>
      </c>
      <c r="Z31" s="112"/>
      <c r="AA31" s="116">
        <f>F31/(1+(Eingabe!H$108/100))^B31</f>
        <v>34.615384615384613</v>
      </c>
      <c r="AB31" s="117">
        <f t="shared" si="9"/>
        <v>10024.316993779068</v>
      </c>
      <c r="AC31" s="115">
        <f t="shared" si="10"/>
        <v>11802.010828730077</v>
      </c>
      <c r="AD31" s="115">
        <f t="shared" si="11"/>
        <v>115714.39711355063</v>
      </c>
      <c r="AE31" s="432">
        <f t="shared" si="12"/>
        <v>0.10199258798495708</v>
      </c>
      <c r="AF31" s="432">
        <f t="shared" si="13"/>
        <v>8.6629816546874433E-2</v>
      </c>
      <c r="AG31" s="112">
        <f t="shared" si="14"/>
        <v>8.6629816546874433E-2</v>
      </c>
      <c r="AH31" s="112">
        <f t="shared" si="4"/>
        <v>0</v>
      </c>
      <c r="AI31" s="112">
        <v>20</v>
      </c>
      <c r="AJ31" s="412">
        <f>AF31*(1+(Eingabe!H$108/100))^AI31</f>
        <v>0.1898165959125962</v>
      </c>
      <c r="AK31" s="112"/>
      <c r="AL31" s="112"/>
      <c r="AM31" s="100"/>
      <c r="AN31" s="100"/>
      <c r="AO31" s="100"/>
      <c r="AP31" s="410"/>
    </row>
    <row r="32" spans="1:42" x14ac:dyDescent="0.2">
      <c r="A32" s="3"/>
      <c r="B32" s="246">
        <v>21</v>
      </c>
      <c r="C32" s="247">
        <f t="shared" si="5"/>
        <v>0.2444383466384393</v>
      </c>
      <c r="D32" s="248">
        <f>Eingabe!$H$114*1/(1+(Eingabe!H$100/100))^B31</f>
        <v>5488.2534937868622</v>
      </c>
      <c r="E32" s="248">
        <f t="shared" si="6"/>
        <v>1341.5396099538987</v>
      </c>
      <c r="F32" s="248">
        <f>(Eingabe!H$90*(Eingabe!H$99/100))*((1+(Eingabe!H$104/100))^B31)+IF(Eingabe!G97="dreimal",Eingabe!H97,0)+(Eingabe!H98*Eingabe!H37)</f>
        <v>78.880433149203171</v>
      </c>
      <c r="G32" s="248">
        <f>IF(AND(Eingabe!$J$89&lt;=Berechnungen!B32,(Eingabe!$J$89+Eingabe!$J$90)&gt;B32),(Eingabe!$H$94*(1-Eingabe!$H$88))/Eingabe!$J$90,0)</f>
        <v>0</v>
      </c>
      <c r="H32" s="248">
        <f>((Eingabe!$H$94*(1-Eingabe!$H$88))-SUM($G$11:G31))*Eingabe!$I$88</f>
        <v>0</v>
      </c>
      <c r="I32" s="248">
        <f t="shared" si="15"/>
        <v>0</v>
      </c>
      <c r="J32" s="248">
        <f t="shared" si="1"/>
        <v>1262.6591768046956</v>
      </c>
      <c r="K32" s="248">
        <f>J32/(1+(Eingabe!H$108/100))^B32</f>
        <v>554.09727480281936</v>
      </c>
      <c r="L32" s="248">
        <f t="shared" si="2"/>
        <v>5894.2409250144592</v>
      </c>
      <c r="M32" s="436">
        <f t="shared" si="7"/>
        <v>0</v>
      </c>
      <c r="N32" s="112">
        <v>22</v>
      </c>
      <c r="O32" s="428">
        <f>IF(Eingabe!$H$63=Eingabe!$C$171,IF(R32&lt;&gt;0,IF(Eingabe!$I$67=Eingabe!$C$202,S32,R32),P32),IF(Eingabe!$H$63=Eingabe!$C$173,T32,IF(Eingabe!$H$63=Eingabe!$C$172,T32,IF(Eingabe!$H$63=Eingabe!$C$174,T32,"Zuordnung!"))))</f>
        <v>0.2444383466384393</v>
      </c>
      <c r="P32" s="428">
        <f>Eingabe!H$106*(1+(Eingabe!H$107/100))^B31</f>
        <v>8.9156843758701254E-2</v>
      </c>
      <c r="Q32" s="428">
        <f>Eingabe!H$105*(1+(Eingabe!H$107/100))^B31</f>
        <v>0.37148684899458856</v>
      </c>
      <c r="R32" s="428">
        <f>IF(Eingabe!$H$67="Überschusseinspeisung",S32,P32)</f>
        <v>8.9156843758701254E-2</v>
      </c>
      <c r="S32" s="428">
        <f>IF(Eingabe!$H$67="Überschusseinspeisung",T32,P32)</f>
        <v>8.9156843758701254E-2</v>
      </c>
      <c r="T32" s="428">
        <f>(P32*Eingabe!$H$75+Berechnungen!Q32*Eingabe!$H$74)/100</f>
        <v>0.2444383466384393</v>
      </c>
      <c r="U32" s="133"/>
      <c r="V32" s="429">
        <f>IF(Eingabe!$H$114*Eingabe!$H$74/100&gt;25000,IF((Eingabe!$H$114*Eingabe!$H$74/100-25000)*0.015&lt;=50,0,(Eingabe!$H$114*Eingabe!$H$74/100-25000)*0.015),0)</f>
        <v>0</v>
      </c>
      <c r="W32" s="430">
        <f t="shared" si="8"/>
        <v>24.44383466384393</v>
      </c>
      <c r="X32" s="431">
        <f>P32*Eingabe!$H$75/100</f>
        <v>4.0120579691415567E-2</v>
      </c>
      <c r="Y32" s="431">
        <f>Q32*Eingabe!$H$74/100</f>
        <v>0.20431776694702372</v>
      </c>
      <c r="Z32" s="112"/>
      <c r="AA32" s="116">
        <f>F32/(1+(Eingabe!H$108/100))^B32</f>
        <v>34.615384615384606</v>
      </c>
      <c r="AB32" s="117">
        <f t="shared" si="9"/>
        <v>10058.932378394453</v>
      </c>
      <c r="AC32" s="115">
        <f t="shared" si="10"/>
        <v>11880.89126187928</v>
      </c>
      <c r="AD32" s="115">
        <f t="shared" si="11"/>
        <v>121202.65060733749</v>
      </c>
      <c r="AE32" s="432">
        <f t="shared" si="12"/>
        <v>9.8025011848709709E-2</v>
      </c>
      <c r="AF32" s="432">
        <f t="shared" si="13"/>
        <v>8.2992676546180214E-2</v>
      </c>
      <c r="AG32" s="112">
        <f t="shared" si="14"/>
        <v>8.2992676546180214E-2</v>
      </c>
      <c r="AH32" s="112">
        <f t="shared" si="4"/>
        <v>0</v>
      </c>
      <c r="AI32" s="112">
        <v>21</v>
      </c>
      <c r="AJ32" s="412">
        <f>AF32*(1+(Eingabe!H$108/100))^AI32</f>
        <v>0.18912106125392744</v>
      </c>
      <c r="AK32" s="112"/>
      <c r="AL32" s="112"/>
      <c r="AM32" s="100"/>
      <c r="AN32" s="100"/>
      <c r="AO32" s="100"/>
      <c r="AP32" s="410"/>
    </row>
    <row r="33" spans="1:42" x14ac:dyDescent="0.2">
      <c r="A33" s="3"/>
      <c r="B33" s="246">
        <v>22</v>
      </c>
      <c r="C33" s="247">
        <f t="shared" si="5"/>
        <v>0.24932711357120804</v>
      </c>
      <c r="D33" s="248">
        <f>Eingabe!$H$114*1/(1+(Eingabe!H$100/100))^B32</f>
        <v>5460.9487500366804</v>
      </c>
      <c r="E33" s="248">
        <f t="shared" si="6"/>
        <v>1361.562589206942</v>
      </c>
      <c r="F33" s="248">
        <f>(Eingabe!H$90*(Eingabe!H$99/100))*((1+(Eingabe!H$104/100))^B32)+(Eingabe!H98*Eingabe!H37)</f>
        <v>82.035650475171309</v>
      </c>
      <c r="G33" s="248">
        <f>IF(AND(Eingabe!$J$89&lt;=Berechnungen!B33,(Eingabe!$J$89+Eingabe!$J$90)&gt;B33),(Eingabe!$H$94*(1-Eingabe!$H$88))/Eingabe!$J$90,0)</f>
        <v>0</v>
      </c>
      <c r="H33" s="248">
        <f>((Eingabe!$H$94*(1-Eingabe!$H$88))-SUM($G$11:G32))*Eingabe!$I$88</f>
        <v>0</v>
      </c>
      <c r="I33" s="248">
        <f t="shared" si="15"/>
        <v>0</v>
      </c>
      <c r="J33" s="248">
        <f t="shared" si="1"/>
        <v>1279.5269387317708</v>
      </c>
      <c r="K33" s="248">
        <f>J33/(1+(Eingabe!H$108/100))^B33</f>
        <v>539.90328416242653</v>
      </c>
      <c r="L33" s="248">
        <f t="shared" si="2"/>
        <v>6434.1442091768859</v>
      </c>
      <c r="M33" s="436">
        <f t="shared" si="7"/>
        <v>0</v>
      </c>
      <c r="N33" s="112">
        <v>23</v>
      </c>
      <c r="O33" s="428">
        <f>IF(Eingabe!$H$63=Eingabe!$C$171,IF(R33&lt;&gt;0,IF(Eingabe!$I$67=Eingabe!$C$202,S33,R33),P33),IF(Eingabe!$H$63=Eingabe!$C$173,T33,IF(Eingabe!$H$63=Eingabe!$C$172,T33,IF(Eingabe!$H$63=Eingabe!$C$174,T33,"Zuordnung!"))))</f>
        <v>0.24932711357120804</v>
      </c>
      <c r="P33" s="428">
        <f>Eingabe!H$106*(1+(Eingabe!H$107/100))^B32</f>
        <v>9.0939980633875275E-2</v>
      </c>
      <c r="Q33" s="428">
        <f>Eingabe!H$105*(1+(Eingabe!H$107/100))^B32</f>
        <v>0.3789165859744803</v>
      </c>
      <c r="R33" s="428">
        <f>IF(Eingabe!$H$67="Überschusseinspeisung",S33,P33)</f>
        <v>9.0939980633875275E-2</v>
      </c>
      <c r="S33" s="428">
        <f>IF(Eingabe!$H$67="Überschusseinspeisung",T33,P33)</f>
        <v>9.0939980633875275E-2</v>
      </c>
      <c r="T33" s="428">
        <f>(P33*Eingabe!$H$75+Berechnungen!Q33*Eingabe!$H$74)/100</f>
        <v>0.24932711357120804</v>
      </c>
      <c r="U33" s="133"/>
      <c r="V33" s="429">
        <f>IF(Eingabe!$H$114*Eingabe!$H$74/100&gt;25000,IF((Eingabe!$H$114*Eingabe!$H$74/100-25000)*0.015&lt;=50,0,(Eingabe!$H$114*Eingabe!$H$74/100-25000)*0.015),0)</f>
        <v>0</v>
      </c>
      <c r="W33" s="430">
        <f t="shared" si="8"/>
        <v>24.932711357120805</v>
      </c>
      <c r="X33" s="431">
        <f>P33*Eingabe!$H$75/100</f>
        <v>4.0922991285243876E-2</v>
      </c>
      <c r="Y33" s="431">
        <f>Q33*Eingabe!$H$74/100</f>
        <v>0.20840412228596417</v>
      </c>
      <c r="Z33" s="112"/>
      <c r="AA33" s="116">
        <f>F33/(1+(Eingabe!H$108/100))^B33</f>
        <v>34.615384615384613</v>
      </c>
      <c r="AB33" s="117">
        <f t="shared" si="9"/>
        <v>10093.547763009838</v>
      </c>
      <c r="AC33" s="115">
        <f t="shared" si="10"/>
        <v>11962.926912354451</v>
      </c>
      <c r="AD33" s="115">
        <f t="shared" si="11"/>
        <v>126663.59935737417</v>
      </c>
      <c r="AE33" s="432">
        <f t="shared" si="12"/>
        <v>9.4446446911726628E-2</v>
      </c>
      <c r="AF33" s="432">
        <f t="shared" si="13"/>
        <v>7.9687833080847995E-2</v>
      </c>
      <c r="AG33" s="112">
        <f t="shared" si="14"/>
        <v>7.9687833080847995E-2</v>
      </c>
      <c r="AH33" s="112">
        <f t="shared" si="4"/>
        <v>0</v>
      </c>
      <c r="AI33" s="112">
        <v>22</v>
      </c>
      <c r="AJ33" s="412">
        <f>AF33*(1+(Eingabe!H$108/100))^AI33</f>
        <v>0.18885369307261138</v>
      </c>
      <c r="AK33" s="112"/>
      <c r="AL33" s="112"/>
      <c r="AM33" s="100"/>
      <c r="AN33" s="100"/>
      <c r="AO33" s="100"/>
      <c r="AP33" s="410"/>
    </row>
    <row r="34" spans="1:42" x14ac:dyDescent="0.2">
      <c r="A34" s="3"/>
      <c r="B34" s="246">
        <v>23</v>
      </c>
      <c r="C34" s="247">
        <f t="shared" si="5"/>
        <v>0.25431365584263221</v>
      </c>
      <c r="D34" s="248">
        <f>Eingabe!$H$114*1/(1+(Eingabe!H$100/100))^B33</f>
        <v>5433.7798507827674</v>
      </c>
      <c r="E34" s="248">
        <f t="shared" si="6"/>
        <v>1381.8844188965982</v>
      </c>
      <c r="F34" s="248">
        <f>(Eingabe!H$90*(Eingabe!H$99/100))*((1+(Eingabe!H$104/100))^B33)+(Eingabe!H98*Eingabe!H37)</f>
        <v>85.317076494178167</v>
      </c>
      <c r="G34" s="248">
        <f>IF(AND(Eingabe!$J$89&lt;=Berechnungen!B34,(Eingabe!$J$89+Eingabe!$J$90)&gt;B34),(Eingabe!$H$94*(1-Eingabe!$H$88))/Eingabe!$J$90,0)</f>
        <v>0</v>
      </c>
      <c r="H34" s="248">
        <f>((Eingabe!$H$94*(1-Eingabe!$H$88))-SUM($G$11:G33))*Eingabe!$I$88</f>
        <v>0</v>
      </c>
      <c r="I34" s="248">
        <f t="shared" si="15"/>
        <v>0</v>
      </c>
      <c r="J34" s="248">
        <f t="shared" si="1"/>
        <v>1296.5673424024201</v>
      </c>
      <c r="K34" s="248">
        <f>J34/(1+(Eingabe!H$108/100))^B34</f>
        <v>526.05151373265164</v>
      </c>
      <c r="L34" s="248">
        <f t="shared" si="2"/>
        <v>6960.1957229095378</v>
      </c>
      <c r="M34" s="436">
        <f t="shared" si="7"/>
        <v>0</v>
      </c>
      <c r="N34" s="112">
        <v>24</v>
      </c>
      <c r="O34" s="428">
        <f>IF(Eingabe!$H$63=Eingabe!$C$171,IF(R34&lt;&gt;0,IF(Eingabe!$I$67=Eingabe!$C$202,S34,R34),P34),IF(Eingabe!$H$63=Eingabe!$C$173,T34,IF(Eingabe!$H$63=Eingabe!$C$172,T34,IF(Eingabe!$H$63=Eingabe!$C$174,T34,"Zuordnung!"))))</f>
        <v>0.25431365584263221</v>
      </c>
      <c r="P34" s="428">
        <f>Eingabe!H$106*(1+(Eingabe!H$107/100))^B33</f>
        <v>9.2758780246552777E-2</v>
      </c>
      <c r="Q34" s="428">
        <f>Eingabe!H$105*(1+(Eingabe!H$107/100))^B33</f>
        <v>0.38649491769396993</v>
      </c>
      <c r="R34" s="428">
        <f>IF(Eingabe!$H$67="Überschusseinspeisung",S34,P34)</f>
        <v>9.2758780246552777E-2</v>
      </c>
      <c r="S34" s="428">
        <f>IF(Eingabe!$H$67="Überschusseinspeisung",T34,P34)</f>
        <v>9.2758780246552777E-2</v>
      </c>
      <c r="T34" s="428">
        <f>(P34*Eingabe!$H$75+Berechnungen!Q34*Eingabe!$H$74)/100</f>
        <v>0.25431365584263221</v>
      </c>
      <c r="U34" s="133"/>
      <c r="V34" s="429">
        <f>IF(Eingabe!$H$114*Eingabe!$H$74/100&gt;25000,IF((Eingabe!$H$114*Eingabe!$H$74/100-25000)*0.015&lt;=50,0,(Eingabe!$H$114*Eingabe!$H$74/100-25000)*0.015),0)</f>
        <v>0</v>
      </c>
      <c r="W34" s="430">
        <f t="shared" si="8"/>
        <v>25.431365584263222</v>
      </c>
      <c r="X34" s="431">
        <f>P34*Eingabe!$H$75/100</f>
        <v>4.1741451110948749E-2</v>
      </c>
      <c r="Y34" s="431">
        <f>Q34*Eingabe!$H$74/100</f>
        <v>0.21257220473168345</v>
      </c>
      <c r="Z34" s="112"/>
      <c r="AA34" s="116">
        <f>F34/(1+(Eingabe!H$108/100))^B34</f>
        <v>34.61538461538462</v>
      </c>
      <c r="AB34" s="117">
        <f t="shared" si="9"/>
        <v>10128.163147625222</v>
      </c>
      <c r="AC34" s="115">
        <f t="shared" si="10"/>
        <v>12048.24398884863</v>
      </c>
      <c r="AD34" s="115">
        <f t="shared" si="11"/>
        <v>132097.37920815693</v>
      </c>
      <c r="AE34" s="432">
        <f t="shared" si="12"/>
        <v>9.1207290114841716E-2</v>
      </c>
      <c r="AF34" s="432">
        <f t="shared" si="13"/>
        <v>7.6671946168329549E-2</v>
      </c>
      <c r="AG34" s="112">
        <f t="shared" si="14"/>
        <v>7.6671946168329549E-2</v>
      </c>
      <c r="AH34" s="112">
        <f t="shared" si="4"/>
        <v>0</v>
      </c>
      <c r="AI34" s="112">
        <v>23</v>
      </c>
      <c r="AJ34" s="412">
        <f>AF34*(1+(Eingabe!H$108/100))^AI34</f>
        <v>0.18897453744580325</v>
      </c>
      <c r="AK34" s="112"/>
      <c r="AL34" s="112"/>
      <c r="AM34" s="100"/>
      <c r="AN34" s="100"/>
      <c r="AO34" s="100"/>
      <c r="AP34" s="410"/>
    </row>
    <row r="35" spans="1:42" x14ac:dyDescent="0.2">
      <c r="A35" s="3"/>
      <c r="B35" s="246">
        <v>24</v>
      </c>
      <c r="C35" s="247">
        <f t="shared" si="5"/>
        <v>0.25939992895948483</v>
      </c>
      <c r="D35" s="248">
        <f>Eingabe!$H$114*1/(1+(Eingabe!H$100/100))^B34</f>
        <v>5406.7461201818587</v>
      </c>
      <c r="E35" s="248">
        <f t="shared" si="6"/>
        <v>1402.5095594771444</v>
      </c>
      <c r="F35" s="248">
        <f>(Eingabe!H$90*(Eingabe!H$99/100))*((1+(Eingabe!H$104/100))^B34)+IF(Eingabe!G97="viermal",Eingabe!H97,0)+(Eingabe!H98*Eingabe!H37)</f>
        <v>88.729759553945286</v>
      </c>
      <c r="G35" s="248">
        <f>IF(AND(Eingabe!$J$89&lt;=Berechnungen!B35,(Eingabe!$J$89+Eingabe!$J$90)&gt;B35),(Eingabe!$H$94*(1-Eingabe!$H$88))/Eingabe!$J$90,0)</f>
        <v>0</v>
      </c>
      <c r="H35" s="248">
        <f>((Eingabe!$H$94*(1-Eingabe!$H$88))-SUM($G$11:G34))*Eingabe!$I$88</f>
        <v>0</v>
      </c>
      <c r="I35" s="248">
        <f t="shared" si="15"/>
        <v>0</v>
      </c>
      <c r="J35" s="248">
        <f t="shared" si="1"/>
        <v>1313.7797999231991</v>
      </c>
      <c r="K35" s="248">
        <f>J35/(1+(Eingabe!H$108/100))^B35</f>
        <v>512.53371250956457</v>
      </c>
      <c r="L35" s="248">
        <f t="shared" si="2"/>
        <v>7472.7294354191026</v>
      </c>
      <c r="M35" s="436">
        <f t="shared" si="7"/>
        <v>0</v>
      </c>
      <c r="N35" s="112">
        <v>25</v>
      </c>
      <c r="O35" s="428">
        <f>IF(Eingabe!$H$63=Eingabe!$C$171,IF(R35&lt;&gt;0,IF(Eingabe!$I$67=Eingabe!$C$202,S35,R35),P35),IF(Eingabe!$H$63=Eingabe!$C$173,T35,IF(Eingabe!$H$63=Eingabe!$C$172,T35,IF(Eingabe!$H$63=Eingabe!$C$174,T35,"Zuordnung!"))))</f>
        <v>0.25939992895948483</v>
      </c>
      <c r="P35" s="428">
        <f>Eingabe!H$106*(1+(Eingabe!H$107/100))^B34</f>
        <v>9.4613955851483814E-2</v>
      </c>
      <c r="Q35" s="428">
        <f>Eingabe!H$105*(1+(Eingabe!H$107/100))^B34</f>
        <v>0.39422481604784926</v>
      </c>
      <c r="R35" s="428">
        <f>IF(Eingabe!$H$67="Überschusseinspeisung",S35,P35)</f>
        <v>9.4613955851483814E-2</v>
      </c>
      <c r="S35" s="428">
        <f>IF(Eingabe!$H$67="Überschusseinspeisung",T35,P35)</f>
        <v>9.4613955851483814E-2</v>
      </c>
      <c r="T35" s="428">
        <f>(P35*Eingabe!$H$75+Berechnungen!Q35*Eingabe!$H$74)/100</f>
        <v>0.25939992895948483</v>
      </c>
      <c r="U35" s="133"/>
      <c r="V35" s="429">
        <f>IF(Eingabe!$H$114*Eingabe!$H$74/100&gt;25000,IF((Eingabe!$H$114*Eingabe!$H$74/100-25000)*0.015&lt;=50,0,(Eingabe!$H$114*Eingabe!$H$74/100-25000)*0.015),0)</f>
        <v>0</v>
      </c>
      <c r="W35" s="430">
        <f t="shared" si="8"/>
        <v>25.939992895948482</v>
      </c>
      <c r="X35" s="431">
        <f>P35*Eingabe!$H$75/100</f>
        <v>4.2576280133167714E-2</v>
      </c>
      <c r="Y35" s="431">
        <f>Q35*Eingabe!$H$74/100</f>
        <v>0.21682364882631711</v>
      </c>
      <c r="Z35" s="112"/>
      <c r="AA35" s="116">
        <f>F35/(1+(Eingabe!H$108/100))^B35</f>
        <v>34.615384615384613</v>
      </c>
      <c r="AB35" s="117">
        <f t="shared" si="9"/>
        <v>10162.778532240607</v>
      </c>
      <c r="AC35" s="115">
        <f t="shared" si="10"/>
        <v>12136.973748402575</v>
      </c>
      <c r="AD35" s="115">
        <f t="shared" si="11"/>
        <v>137504.12532833879</v>
      </c>
      <c r="AE35" s="432">
        <f t="shared" si="12"/>
        <v>8.8266251790056052E-2</v>
      </c>
      <c r="AF35" s="432">
        <f t="shared" si="13"/>
        <v>7.3908899154650445E-2</v>
      </c>
      <c r="AG35" s="112">
        <f t="shared" si="14"/>
        <v>7.3908899154650445E-2</v>
      </c>
      <c r="AH35" s="112">
        <f t="shared" si="4"/>
        <v>0</v>
      </c>
      <c r="AI35" s="112">
        <v>24</v>
      </c>
      <c r="AJ35" s="412">
        <f>AF35*(1+(Eingabe!H$108/100))^AI35</f>
        <v>0.18945098902568003</v>
      </c>
      <c r="AK35" s="112"/>
      <c r="AL35" s="112"/>
      <c r="AM35" s="100"/>
      <c r="AN35" s="100"/>
      <c r="AO35" s="100"/>
      <c r="AP35" s="410"/>
    </row>
    <row r="36" spans="1:42" ht="13.5" thickBot="1" x14ac:dyDescent="0.25">
      <c r="A36" s="3"/>
      <c r="B36" s="249">
        <v>25</v>
      </c>
      <c r="C36" s="247">
        <f t="shared" si="5"/>
        <v>0.26458792753867449</v>
      </c>
      <c r="D36" s="250">
        <f>Eingabe!$H$114*1/(1+(Eingabe!H$100/100))^B35</f>
        <v>5379.8468857530934</v>
      </c>
      <c r="E36" s="250">
        <f t="shared" si="6"/>
        <v>1423.4425379768031</v>
      </c>
      <c r="F36" s="248">
        <f>(Eingabe!H$90*(Eingabe!H$99/100))*((1+(Eingabe!H$104/100))^B35)+(Eingabe!H98*Eingabe!H37)</f>
        <v>92.278949936103103</v>
      </c>
      <c r="G36" s="248">
        <f>IF(AND(Eingabe!$J$89&lt;=Berechnungen!B36,(Eingabe!$J$89+Eingabe!$J$90)&gt;B36),(Eingabe!$H$94*(1-Eingabe!$H$88))/Eingabe!$J$90,0)</f>
        <v>0</v>
      </c>
      <c r="H36" s="250">
        <f>((Eingabe!$H$94*(1-Eingabe!$H$88))-SUM($G$11:G35))*Eingabe!$I$88</f>
        <v>0</v>
      </c>
      <c r="I36" s="250">
        <f t="shared" si="15"/>
        <v>0</v>
      </c>
      <c r="J36" s="250">
        <f t="shared" si="1"/>
        <v>1331.1635880407</v>
      </c>
      <c r="K36" s="248">
        <f>J36/(1+(Eingabe!H$108/100))^B36</f>
        <v>499.34182842274015</v>
      </c>
      <c r="L36" s="250">
        <f t="shared" si="2"/>
        <v>7972.0712638418427</v>
      </c>
      <c r="M36" s="437">
        <f t="shared" si="7"/>
        <v>0</v>
      </c>
      <c r="N36" s="112">
        <v>26</v>
      </c>
      <c r="O36" s="428">
        <f>IF(Eingabe!$H$63=Eingabe!$C$171,IF(R36&lt;&gt;0,IF(Eingabe!$I$67=Eingabe!$C$202,S36,R36),P36),IF(Eingabe!$H$63=Eingabe!$C$173,T36,IF(Eingabe!$H$63=Eingabe!$C$172,T36,IF(Eingabe!$H$63=Eingabe!$C$174,T36,"Zuordnung!"))))</f>
        <v>0.26458792753867449</v>
      </c>
      <c r="P36" s="428">
        <f>Eingabe!H$106*(1+(Eingabe!H$107/100))^B35</f>
        <v>9.6506234968513502E-2</v>
      </c>
      <c r="Q36" s="428">
        <f>Eingabe!H$105*(1+(Eingabe!H$107/100))^B35</f>
        <v>0.40210931236880626</v>
      </c>
      <c r="R36" s="428">
        <f>IF(Eingabe!$H$67="Überschusseinspeisung",S36,P36)</f>
        <v>9.6506234968513502E-2</v>
      </c>
      <c r="S36" s="428">
        <f>IF(Eingabe!$H$67="Überschusseinspeisung",T36,P36)</f>
        <v>9.6506234968513502E-2</v>
      </c>
      <c r="T36" s="428">
        <f>(P36*Eingabe!$H$75+Berechnungen!Q36*Eingabe!$H$74)/100</f>
        <v>0.26458792753867449</v>
      </c>
      <c r="U36" s="133"/>
      <c r="V36" s="429">
        <f>IF(Eingabe!$H$114*Eingabe!$H$74/100&gt;25000,IF((Eingabe!$H$114*Eingabe!$H$74/100-25000)*0.015&lt;=50,0,(Eingabe!$H$114*Eingabe!$H$74/100-25000)*0.015),0)</f>
        <v>0</v>
      </c>
      <c r="W36" s="430">
        <f t="shared" si="8"/>
        <v>26.458792753867449</v>
      </c>
      <c r="X36" s="431">
        <f>P36*Eingabe!$H$75/100</f>
        <v>4.3427805735831077E-2</v>
      </c>
      <c r="Y36" s="431">
        <f>Q36*Eingabe!$H$74/100</f>
        <v>0.22116012180284345</v>
      </c>
      <c r="Z36" s="112"/>
      <c r="AA36" s="116">
        <f>F36/(1+(Eingabe!H$108/100))^B36</f>
        <v>34.615384615384613</v>
      </c>
      <c r="AB36" s="117">
        <f t="shared" si="9"/>
        <v>10197.393916855992</v>
      </c>
      <c r="AC36" s="115">
        <f t="shared" si="10"/>
        <v>12229.252698338678</v>
      </c>
      <c r="AD36" s="115">
        <f t="shared" si="11"/>
        <v>142883.97221409189</v>
      </c>
      <c r="AE36" s="432">
        <f t="shared" si="12"/>
        <v>8.5588694860854186E-2</v>
      </c>
      <c r="AF36" s="432">
        <f t="shared" si="13"/>
        <v>7.1368354048672492E-2</v>
      </c>
      <c r="AG36" s="112">
        <f t="shared" si="14"/>
        <v>7.1368354048672492E-2</v>
      </c>
      <c r="AH36" s="112">
        <f t="shared" si="4"/>
        <v>0</v>
      </c>
      <c r="AI36" s="112">
        <v>25</v>
      </c>
      <c r="AJ36" s="412">
        <f>AF36*(1+(Eingabe!H$108/100))^AI36</f>
        <v>0.19025635114140868</v>
      </c>
      <c r="AK36" s="112"/>
      <c r="AL36" s="112"/>
      <c r="AM36" s="100"/>
      <c r="AN36" s="100"/>
      <c r="AO36" s="100"/>
      <c r="AP36" s="410"/>
    </row>
    <row r="37" spans="1:42" ht="13.5" thickTop="1" x14ac:dyDescent="0.2">
      <c r="A37" s="3"/>
      <c r="B37" s="251" t="s">
        <v>84</v>
      </c>
      <c r="C37" s="252"/>
      <c r="D37" s="253">
        <f>SUM(D12:D36)</f>
        <v>142883.97221409189</v>
      </c>
      <c r="E37" s="253">
        <f>SUM(E12:E36)</f>
        <v>29960.300592257623</v>
      </c>
      <c r="F37" s="253">
        <f>SUM(F11:F36)</f>
        <v>12229.252698338678</v>
      </c>
      <c r="G37" s="253">
        <f>SUM(G12:G36)</f>
        <v>0</v>
      </c>
      <c r="H37" s="253">
        <f>SUM(H12:H36)</f>
        <v>0</v>
      </c>
      <c r="I37" s="253">
        <f>SUM(I11:I36)</f>
        <v>0</v>
      </c>
      <c r="J37" s="253">
        <f>SUM(J11:J36)</f>
        <v>17731.047893918938</v>
      </c>
      <c r="K37" s="253">
        <f>SUM(K11:K36)</f>
        <v>7972.0712638418427</v>
      </c>
      <c r="L37" s="252"/>
      <c r="M37" s="438">
        <f>IF(MAX(M11:M36)&gt;25,"&gt;25",MAX(M11:M36))</f>
        <v>9</v>
      </c>
      <c r="U37" s="114"/>
      <c r="Y37" s="112"/>
      <c r="Z37" s="112"/>
      <c r="AA37" s="116"/>
      <c r="AB37" s="117"/>
      <c r="AC37" s="115"/>
      <c r="AD37" s="112"/>
      <c r="AE37" s="112"/>
      <c r="AF37" s="432"/>
      <c r="AG37" s="112"/>
      <c r="AH37" s="112"/>
      <c r="AI37" s="112"/>
      <c r="AJ37" s="412"/>
      <c r="AK37" s="112"/>
      <c r="AL37" s="112"/>
      <c r="AM37" s="100"/>
      <c r="AN37" s="100"/>
      <c r="AO37" s="100"/>
      <c r="AP37" s="410"/>
    </row>
    <row r="38" spans="1:42" x14ac:dyDescent="0.2">
      <c r="A38" s="3"/>
      <c r="B38" s="126"/>
      <c r="C38" s="126"/>
      <c r="D38" s="126"/>
      <c r="E38" s="127"/>
      <c r="F38" s="126"/>
      <c r="G38" s="126"/>
      <c r="H38" s="127"/>
      <c r="I38" s="254">
        <f>F37+I37</f>
        <v>12229.252698338678</v>
      </c>
      <c r="J38" s="127"/>
      <c r="K38" s="126"/>
      <c r="L38" s="126"/>
      <c r="M38" s="241"/>
      <c r="X38" s="116"/>
      <c r="Y38" s="117"/>
      <c r="Z38" s="115"/>
      <c r="AA38" s="112"/>
      <c r="AB38" s="112"/>
      <c r="AC38" s="432"/>
      <c r="AD38" s="112"/>
      <c r="AE38" s="112"/>
      <c r="AF38" s="112"/>
      <c r="AG38" s="412"/>
      <c r="AH38" s="112"/>
      <c r="AI38" s="112"/>
      <c r="AJ38" s="293"/>
      <c r="AK38" s="293"/>
      <c r="AL38" s="293"/>
      <c r="AM38" s="100"/>
      <c r="AN38" s="100"/>
      <c r="AO38" s="100"/>
      <c r="AP38" s="410"/>
    </row>
    <row r="39" spans="1:42" x14ac:dyDescent="0.2">
      <c r="A39" s="3"/>
      <c r="B39" s="126"/>
      <c r="C39" s="126"/>
      <c r="D39" s="126"/>
      <c r="E39" s="127"/>
      <c r="F39" s="126"/>
      <c r="G39" s="126"/>
      <c r="H39" s="127"/>
      <c r="I39" s="254"/>
      <c r="J39" s="127"/>
      <c r="K39" s="320" t="s">
        <v>2641</v>
      </c>
      <c r="L39" s="256">
        <f>I38/D37*100</f>
        <v>8.5588694860854186</v>
      </c>
      <c r="M39" s="126" t="s">
        <v>2357</v>
      </c>
      <c r="X39" s="116"/>
      <c r="Y39" s="117"/>
      <c r="Z39" s="115"/>
      <c r="AA39" s="112"/>
      <c r="AB39" s="112"/>
      <c r="AC39" s="432"/>
      <c r="AD39" s="112"/>
      <c r="AE39" s="112"/>
      <c r="AF39" s="112"/>
      <c r="AG39" s="412"/>
      <c r="AH39" s="112"/>
      <c r="AI39" s="112"/>
      <c r="AJ39" s="293"/>
      <c r="AK39" s="293"/>
      <c r="AL39" s="293"/>
      <c r="AM39" s="100"/>
      <c r="AN39" s="100"/>
      <c r="AO39" s="100"/>
      <c r="AP39" s="410"/>
    </row>
    <row r="40" spans="1:42" x14ac:dyDescent="0.2">
      <c r="A40" s="3"/>
      <c r="B40" s="126"/>
      <c r="C40" s="126"/>
      <c r="D40" s="126"/>
      <c r="E40" s="127"/>
      <c r="F40" s="126"/>
      <c r="G40" s="126"/>
      <c r="H40" s="127"/>
      <c r="I40" s="254"/>
      <c r="J40" s="127"/>
      <c r="K40" s="255" t="s">
        <v>36</v>
      </c>
      <c r="L40" s="257">
        <f>NPV(Eingabe!H$108/100,Berechnungen!J12:J36)+J11</f>
        <v>7972.0712638418463</v>
      </c>
      <c r="M40" s="79" t="s">
        <v>2626</v>
      </c>
      <c r="X40" s="116"/>
      <c r="Y40" s="117"/>
      <c r="Z40" s="112"/>
      <c r="AA40" s="112"/>
      <c r="AB40" s="112"/>
      <c r="AC40" s="432"/>
      <c r="AD40" s="112"/>
      <c r="AE40" s="112"/>
      <c r="AF40" s="112"/>
      <c r="AG40" s="412"/>
      <c r="AH40" s="112"/>
      <c r="AI40" s="112"/>
      <c r="AJ40" s="293"/>
      <c r="AK40" s="293"/>
      <c r="AL40" s="293"/>
      <c r="AM40" s="100"/>
      <c r="AN40" s="100"/>
      <c r="AO40" s="100"/>
      <c r="AP40" s="410"/>
    </row>
    <row r="41" spans="1:42" x14ac:dyDescent="0.2">
      <c r="A41" s="3"/>
      <c r="B41" s="126"/>
      <c r="C41" s="126"/>
      <c r="D41" s="126"/>
      <c r="H41" s="324"/>
      <c r="I41" s="126"/>
      <c r="K41" s="320" t="s">
        <v>2652</v>
      </c>
      <c r="L41" s="321">
        <f>IRR(K11:K36)</f>
        <v>8.2132927911803932E-2</v>
      </c>
      <c r="M41" s="241"/>
      <c r="X41" s="116"/>
      <c r="Y41" s="117"/>
      <c r="Z41" s="112"/>
      <c r="AA41" s="112"/>
      <c r="AB41" s="112"/>
      <c r="AC41" s="432"/>
      <c r="AD41" s="112"/>
      <c r="AE41" s="112"/>
      <c r="AF41" s="112"/>
      <c r="AG41" s="412"/>
      <c r="AH41" s="112"/>
      <c r="AI41" s="112"/>
      <c r="AJ41" s="293"/>
      <c r="AK41" s="293"/>
      <c r="AL41" s="293"/>
      <c r="AM41" s="100"/>
      <c r="AN41" s="100"/>
      <c r="AO41" s="100"/>
      <c r="AP41" s="410"/>
    </row>
    <row r="42" spans="1:42" s="112" customFormat="1" x14ac:dyDescent="0.2">
      <c r="B42" s="389" t="s">
        <v>2038</v>
      </c>
      <c r="C42" s="384"/>
      <c r="D42" s="384"/>
      <c r="E42" s="385"/>
      <c r="F42" s="384"/>
      <c r="G42" s="384"/>
      <c r="H42" s="115"/>
      <c r="I42" s="385"/>
      <c r="J42" s="384"/>
      <c r="K42" s="384"/>
      <c r="M42" s="259"/>
      <c r="X42" s="116"/>
      <c r="Y42" s="117"/>
      <c r="AC42" s="432"/>
      <c r="AG42" s="412"/>
      <c r="AI42" s="118"/>
      <c r="AJ42" s="118"/>
      <c r="AK42" s="118"/>
      <c r="AL42" s="118"/>
      <c r="AM42" s="118"/>
      <c r="AN42" s="118"/>
      <c r="AO42" s="118"/>
    </row>
    <row r="43" spans="1:42" s="112" customFormat="1" x14ac:dyDescent="0.2">
      <c r="B43" s="384"/>
      <c r="C43" s="384"/>
      <c r="D43" s="384" t="s">
        <v>2294</v>
      </c>
      <c r="E43" s="385"/>
      <c r="F43" s="384"/>
      <c r="G43" s="384"/>
      <c r="H43" s="385"/>
      <c r="I43" s="385"/>
      <c r="J43" s="385"/>
      <c r="K43" s="384"/>
      <c r="L43" s="384"/>
      <c r="M43" s="259"/>
      <c r="X43" s="116"/>
      <c r="Y43" s="117"/>
      <c r="AC43" s="432"/>
      <c r="AG43" s="412"/>
      <c r="AI43" s="118"/>
      <c r="AJ43" s="118"/>
      <c r="AK43" s="118"/>
      <c r="AL43" s="118"/>
      <c r="AM43" s="118"/>
      <c r="AN43" s="118"/>
      <c r="AO43" s="118"/>
    </row>
    <row r="44" spans="1:42" s="112" customFormat="1" x14ac:dyDescent="0.2">
      <c r="B44" s="384"/>
      <c r="C44" s="384"/>
      <c r="D44" s="384" t="s">
        <v>2295</v>
      </c>
      <c r="E44" s="385"/>
      <c r="F44" s="384"/>
      <c r="G44" s="384"/>
      <c r="H44" s="385"/>
      <c r="I44" s="385"/>
      <c r="J44" s="385"/>
      <c r="K44" s="384"/>
      <c r="L44" s="384"/>
      <c r="M44" s="384"/>
      <c r="X44" s="116"/>
      <c r="Y44" s="117"/>
      <c r="AC44" s="432"/>
      <c r="AG44" s="412"/>
      <c r="AI44" s="118"/>
      <c r="AJ44" s="118"/>
      <c r="AK44" s="118"/>
      <c r="AL44" s="118"/>
      <c r="AM44" s="118"/>
      <c r="AN44" s="118"/>
      <c r="AO44" s="118"/>
    </row>
    <row r="45" spans="1:42" s="112" customFormat="1" x14ac:dyDescent="0.2">
      <c r="B45" s="384"/>
      <c r="C45" s="384"/>
      <c r="D45" s="384" t="s">
        <v>2039</v>
      </c>
      <c r="E45" s="385"/>
      <c r="F45" s="384"/>
      <c r="G45" s="384"/>
      <c r="H45" s="385"/>
      <c r="I45" s="385"/>
      <c r="J45" s="385"/>
      <c r="K45" s="384"/>
      <c r="L45" s="384"/>
      <c r="M45" s="384"/>
      <c r="X45" s="116"/>
      <c r="Y45" s="117"/>
      <c r="AC45" s="432"/>
      <c r="AG45" s="412"/>
      <c r="AI45" s="118"/>
      <c r="AJ45" s="118"/>
      <c r="AK45" s="118"/>
      <c r="AL45" s="118"/>
      <c r="AM45" s="118"/>
      <c r="AN45" s="118"/>
      <c r="AO45" s="118"/>
    </row>
    <row r="46" spans="1:42" s="112" customFormat="1" x14ac:dyDescent="0.2">
      <c r="B46" s="384"/>
      <c r="C46" s="439"/>
      <c r="D46" s="384" t="s">
        <v>606</v>
      </c>
      <c r="E46" s="385"/>
      <c r="F46" s="384"/>
      <c r="G46" s="384"/>
      <c r="H46" s="385"/>
      <c r="I46" s="385"/>
      <c r="J46" s="385"/>
      <c r="K46" s="384"/>
      <c r="L46" s="384"/>
      <c r="M46" s="384"/>
      <c r="X46" s="116"/>
      <c r="Y46" s="117"/>
      <c r="AC46" s="432"/>
      <c r="AG46" s="412"/>
      <c r="AI46" s="118"/>
      <c r="AJ46" s="118"/>
      <c r="AK46" s="118"/>
      <c r="AL46" s="118"/>
      <c r="AM46" s="118"/>
      <c r="AN46" s="118"/>
      <c r="AO46" s="118"/>
    </row>
    <row r="47" spans="1:42" s="112" customFormat="1" x14ac:dyDescent="0.2">
      <c r="B47" s="384"/>
      <c r="C47" s="384"/>
      <c r="D47" s="384"/>
      <c r="E47" s="385"/>
      <c r="F47" s="384"/>
      <c r="G47" s="384"/>
      <c r="H47" s="385"/>
      <c r="I47" s="385"/>
      <c r="J47" s="385"/>
      <c r="K47" s="384"/>
      <c r="L47" s="384"/>
      <c r="M47" s="384"/>
      <c r="AI47" s="118"/>
      <c r="AJ47" s="118"/>
      <c r="AK47" s="118"/>
      <c r="AL47" s="118"/>
      <c r="AM47" s="118"/>
      <c r="AN47" s="118"/>
      <c r="AO47" s="118"/>
    </row>
    <row r="48" spans="1:42" s="112" customFormat="1" x14ac:dyDescent="0.2">
      <c r="B48" s="384"/>
      <c r="C48" s="382" t="s">
        <v>2045</v>
      </c>
      <c r="D48" s="384" t="s">
        <v>2046</v>
      </c>
      <c r="E48" s="385"/>
      <c r="F48" s="384"/>
      <c r="G48" s="384"/>
      <c r="H48" s="385"/>
      <c r="I48" s="385"/>
      <c r="J48" s="385"/>
      <c r="K48" s="384"/>
      <c r="L48" s="384"/>
      <c r="M48" s="384"/>
      <c r="P48" s="118"/>
      <c r="Q48" s="118"/>
      <c r="R48" s="118"/>
      <c r="S48" s="118"/>
      <c r="T48" s="118"/>
      <c r="U48" s="118"/>
      <c r="V48" s="118"/>
      <c r="W48" s="118"/>
      <c r="X48" s="118"/>
      <c r="Y48" s="118"/>
      <c r="Z48" s="118"/>
      <c r="AA48" s="118"/>
      <c r="AB48" s="118"/>
      <c r="AC48" s="118"/>
      <c r="AD48" s="118"/>
      <c r="AE48" s="118"/>
      <c r="AF48" s="118"/>
      <c r="AG48" s="118"/>
      <c r="AH48" s="118"/>
      <c r="AI48" s="118"/>
      <c r="AJ48" s="118"/>
      <c r="AK48" s="118"/>
      <c r="AL48" s="118"/>
      <c r="AM48" s="118"/>
      <c r="AN48" s="118"/>
      <c r="AO48" s="118"/>
    </row>
    <row r="49" spans="1:41" s="112" customFormat="1" x14ac:dyDescent="0.2">
      <c r="B49" s="384"/>
      <c r="C49" s="382" t="s">
        <v>2291</v>
      </c>
      <c r="D49" s="384" t="s">
        <v>2047</v>
      </c>
      <c r="E49" s="385"/>
      <c r="F49" s="384"/>
      <c r="G49" s="384"/>
      <c r="H49" s="385"/>
      <c r="I49" s="385"/>
      <c r="J49" s="385"/>
      <c r="P49" s="118"/>
      <c r="Q49" s="118"/>
      <c r="R49" s="118"/>
      <c r="S49" s="118"/>
      <c r="T49" s="118"/>
      <c r="U49" s="118"/>
      <c r="V49" s="118"/>
      <c r="W49" s="118"/>
      <c r="X49" s="118"/>
      <c r="Y49" s="118"/>
      <c r="Z49" s="118"/>
      <c r="AA49" s="118"/>
      <c r="AB49" s="118"/>
      <c r="AC49" s="118"/>
      <c r="AD49" s="118"/>
      <c r="AE49" s="118"/>
      <c r="AF49" s="118"/>
      <c r="AG49" s="118"/>
      <c r="AH49" s="118"/>
      <c r="AI49" s="118"/>
      <c r="AJ49" s="118"/>
      <c r="AK49" s="118"/>
      <c r="AL49" s="118"/>
      <c r="AM49" s="118"/>
      <c r="AN49" s="118"/>
      <c r="AO49" s="118"/>
    </row>
    <row r="50" spans="1:41" s="112" customFormat="1" x14ac:dyDescent="0.2">
      <c r="B50" s="384"/>
      <c r="C50" s="382" t="s">
        <v>934</v>
      </c>
      <c r="D50" s="384" t="s">
        <v>2048</v>
      </c>
      <c r="E50" s="385"/>
      <c r="F50" s="384"/>
      <c r="G50" s="384"/>
      <c r="H50" s="385"/>
      <c r="I50" s="385"/>
      <c r="J50" s="385"/>
      <c r="P50" s="118"/>
      <c r="Q50" s="118"/>
      <c r="R50" s="118"/>
      <c r="S50" s="118"/>
      <c r="T50" s="118"/>
      <c r="U50" s="118"/>
      <c r="V50" s="118"/>
      <c r="W50" s="118"/>
      <c r="X50" s="118"/>
      <c r="Y50" s="118"/>
      <c r="Z50" s="118"/>
      <c r="AA50" s="118"/>
      <c r="AB50" s="118"/>
      <c r="AC50" s="118"/>
      <c r="AD50" s="118"/>
      <c r="AE50" s="118"/>
      <c r="AF50" s="118"/>
      <c r="AG50" s="118"/>
      <c r="AH50" s="118"/>
      <c r="AI50" s="118"/>
      <c r="AJ50" s="118"/>
      <c r="AK50" s="118"/>
      <c r="AL50" s="118"/>
      <c r="AM50" s="118"/>
      <c r="AN50" s="118"/>
      <c r="AO50" s="118"/>
    </row>
    <row r="51" spans="1:41" s="112" customFormat="1" x14ac:dyDescent="0.2">
      <c r="E51" s="115"/>
      <c r="H51" s="115"/>
      <c r="I51" s="115"/>
      <c r="J51" s="115"/>
      <c r="N51" s="115"/>
      <c r="P51" s="118"/>
      <c r="Q51" s="118"/>
      <c r="R51" s="118"/>
      <c r="S51" s="118"/>
      <c r="T51" s="118"/>
      <c r="U51" s="118"/>
      <c r="V51" s="118"/>
      <c r="W51" s="118"/>
      <c r="X51" s="118"/>
      <c r="Y51" s="118"/>
      <c r="Z51" s="118"/>
      <c r="AA51" s="118"/>
      <c r="AB51" s="118"/>
      <c r="AC51" s="118"/>
      <c r="AD51" s="118"/>
      <c r="AE51" s="118"/>
      <c r="AF51" s="118"/>
      <c r="AG51" s="118"/>
      <c r="AH51" s="118"/>
      <c r="AI51" s="118"/>
      <c r="AJ51" s="118"/>
      <c r="AK51" s="118"/>
      <c r="AL51" s="118"/>
      <c r="AM51" s="118"/>
      <c r="AN51" s="118"/>
      <c r="AO51" s="118"/>
    </row>
    <row r="52" spans="1:41" x14ac:dyDescent="0.2">
      <c r="A52" s="3"/>
      <c r="B52" s="134" t="s">
        <v>1242</v>
      </c>
      <c r="C52" s="112"/>
      <c r="D52" s="112"/>
      <c r="E52" s="112"/>
      <c r="F52" s="112"/>
      <c r="G52" s="112"/>
      <c r="H52" s="440"/>
      <c r="I52" s="115"/>
      <c r="J52" s="115"/>
      <c r="K52" s="112"/>
      <c r="L52" s="132"/>
      <c r="M52" s="132"/>
      <c r="N52" s="441"/>
      <c r="O52" s="132"/>
      <c r="P52" s="118"/>
      <c r="Q52" s="118"/>
      <c r="R52" s="118"/>
      <c r="S52" s="118"/>
      <c r="T52" s="118"/>
      <c r="U52" s="118"/>
      <c r="V52" s="118"/>
      <c r="W52" s="118"/>
      <c r="X52" s="118"/>
      <c r="Y52" s="118"/>
      <c r="Z52" s="118"/>
      <c r="AA52" s="118"/>
      <c r="AB52" s="118"/>
      <c r="AC52" s="118"/>
      <c r="AD52" s="118"/>
      <c r="AE52" s="118"/>
      <c r="AF52" s="118"/>
      <c r="AG52" s="118"/>
      <c r="AH52" s="118"/>
      <c r="AI52" s="118"/>
      <c r="AJ52" s="100"/>
      <c r="AK52" s="100"/>
      <c r="AL52" s="100"/>
      <c r="AM52" s="100"/>
      <c r="AN52" s="100"/>
      <c r="AO52" s="100"/>
    </row>
    <row r="53" spans="1:41" x14ac:dyDescent="0.2">
      <c r="A53" s="3"/>
      <c r="B53" s="112"/>
      <c r="C53" s="112"/>
      <c r="D53" s="114" t="s">
        <v>608</v>
      </c>
      <c r="E53" s="427" t="s">
        <v>2322</v>
      </c>
      <c r="F53" s="114" t="s">
        <v>2323</v>
      </c>
      <c r="G53" s="112"/>
      <c r="H53" s="427" t="s">
        <v>2162</v>
      </c>
      <c r="I53" s="115"/>
      <c r="J53" s="115"/>
      <c r="K53" s="112"/>
      <c r="L53" s="132"/>
      <c r="M53" s="133"/>
      <c r="N53" s="133"/>
      <c r="O53" s="133"/>
      <c r="P53" s="118"/>
      <c r="Q53" s="118"/>
      <c r="R53" s="118"/>
      <c r="S53" s="118"/>
      <c r="T53" s="118"/>
      <c r="U53" s="118"/>
      <c r="V53" s="118"/>
      <c r="W53" s="118"/>
      <c r="X53" s="118"/>
      <c r="Y53" s="100"/>
      <c r="Z53" s="100"/>
      <c r="AA53" s="100"/>
      <c r="AB53" s="100"/>
      <c r="AC53" s="100"/>
      <c r="AD53" s="100"/>
      <c r="AE53" s="100"/>
      <c r="AF53" s="100"/>
      <c r="AG53" s="100"/>
      <c r="AH53" s="100"/>
      <c r="AI53" s="100"/>
      <c r="AJ53" s="100"/>
      <c r="AK53" s="100"/>
      <c r="AL53" s="100"/>
      <c r="AM53" s="100"/>
      <c r="AN53" s="100"/>
      <c r="AO53" s="100"/>
    </row>
    <row r="54" spans="1:41" x14ac:dyDescent="0.2">
      <c r="A54" s="3"/>
      <c r="B54" s="112"/>
      <c r="C54" s="132"/>
      <c r="D54" s="132">
        <v>5</v>
      </c>
      <c r="E54" s="441">
        <v>20</v>
      </c>
      <c r="F54" s="132" t="s">
        <v>2321</v>
      </c>
      <c r="G54" s="112"/>
      <c r="H54" s="132">
        <f>Eingabe!H37</f>
        <v>6</v>
      </c>
      <c r="I54" s="132"/>
      <c r="J54" s="132"/>
      <c r="K54" s="112"/>
      <c r="L54" s="132"/>
      <c r="M54" s="133"/>
      <c r="N54" s="133"/>
      <c r="O54" s="133"/>
      <c r="P54" s="118"/>
      <c r="Q54" s="118"/>
      <c r="R54" s="118"/>
      <c r="S54" s="118"/>
      <c r="T54" s="118"/>
      <c r="U54" s="118"/>
      <c r="V54" s="118"/>
      <c r="W54" s="118"/>
      <c r="X54" s="118"/>
      <c r="Y54" s="100"/>
      <c r="Z54" s="100"/>
      <c r="AA54" s="100"/>
      <c r="AB54" s="100"/>
      <c r="AC54" s="100"/>
      <c r="AD54" s="100"/>
      <c r="AE54" s="100"/>
      <c r="AF54" s="100"/>
      <c r="AG54" s="100"/>
      <c r="AH54" s="100"/>
      <c r="AI54" s="100"/>
      <c r="AJ54" s="100"/>
      <c r="AK54" s="100"/>
      <c r="AL54" s="100"/>
      <c r="AM54" s="100"/>
      <c r="AN54" s="100"/>
      <c r="AO54" s="100"/>
    </row>
    <row r="55" spans="1:41" x14ac:dyDescent="0.2">
      <c r="A55" s="3"/>
      <c r="B55" s="112"/>
      <c r="C55" s="132" t="s">
        <v>1805</v>
      </c>
      <c r="D55" s="133"/>
      <c r="E55" s="442" t="str">
        <f>Förderungen!H11</f>
        <v>-</v>
      </c>
      <c r="F55" s="442" t="str">
        <f>E55</f>
        <v>-</v>
      </c>
      <c r="G55" s="112"/>
      <c r="H55" s="132" t="str">
        <f>IF(Eingabe!$H$37&lt;$D$54,D55,IF(Eingabe!$H$37&lt;=$E$54,E55,IF(Eingabe!$H$37&gt;$E$54,F55,"")))</f>
        <v>-</v>
      </c>
      <c r="I55" s="443">
        <f>IF(C55=$F$6,H55,0)</f>
        <v>0</v>
      </c>
      <c r="J55" s="133"/>
      <c r="K55" s="112"/>
      <c r="L55" s="132"/>
      <c r="M55" s="133"/>
      <c r="N55" s="133"/>
      <c r="O55" s="133"/>
      <c r="P55" s="118"/>
      <c r="Q55" s="118"/>
      <c r="R55" s="118"/>
      <c r="S55" s="118"/>
      <c r="T55" s="118"/>
      <c r="U55" s="118"/>
      <c r="V55" s="118"/>
      <c r="W55" s="118"/>
      <c r="X55" s="118"/>
      <c r="Y55" s="100"/>
      <c r="Z55" s="100"/>
      <c r="AA55" s="100"/>
      <c r="AB55" s="100"/>
      <c r="AC55" s="100"/>
      <c r="AD55" s="100"/>
      <c r="AE55" s="100"/>
      <c r="AF55" s="100"/>
      <c r="AG55" s="100"/>
      <c r="AH55" s="100"/>
      <c r="AI55" s="100"/>
      <c r="AJ55" s="100"/>
      <c r="AK55" s="100"/>
      <c r="AL55" s="100"/>
      <c r="AM55" s="100"/>
      <c r="AN55" s="100"/>
      <c r="AO55" s="100"/>
    </row>
    <row r="56" spans="1:41" x14ac:dyDescent="0.2">
      <c r="A56" s="3"/>
      <c r="B56" s="112"/>
      <c r="C56" s="132" t="s">
        <v>1475</v>
      </c>
      <c r="D56" s="133"/>
      <c r="E56" s="442" t="str">
        <f>Förderungen!H23</f>
        <v>-</v>
      </c>
      <c r="F56" s="442" t="str">
        <f t="shared" ref="F56:F63" si="16">E56</f>
        <v>-</v>
      </c>
      <c r="G56" s="112"/>
      <c r="H56" s="132" t="str">
        <f>IF(Eingabe!$H$37&lt;$D$54,D56,IF(Eingabe!$H$37&lt;=$E$54,E56,IF(Eingabe!$H$37&gt;$E$54,F56,"")))</f>
        <v>-</v>
      </c>
      <c r="I56" s="444">
        <f t="shared" ref="I56:I63" si="17">IF(C56=$F$6,H56,0)</f>
        <v>0</v>
      </c>
      <c r="J56" s="115"/>
      <c r="K56" s="112"/>
      <c r="L56" s="132"/>
      <c r="M56" s="133"/>
      <c r="N56" s="133"/>
      <c r="O56" s="133"/>
      <c r="P56" s="118"/>
      <c r="Q56" s="118"/>
      <c r="R56" s="118"/>
      <c r="S56" s="118"/>
      <c r="T56" s="118"/>
      <c r="U56" s="118"/>
      <c r="V56" s="118"/>
      <c r="W56" s="118"/>
      <c r="X56" s="118"/>
      <c r="Y56" s="100"/>
      <c r="Z56" s="100"/>
      <c r="AA56" s="100"/>
      <c r="AB56" s="100"/>
      <c r="AC56" s="100"/>
      <c r="AD56" s="100"/>
      <c r="AE56" s="100"/>
      <c r="AF56" s="100"/>
      <c r="AG56" s="100"/>
      <c r="AH56" s="100"/>
      <c r="AI56" s="100"/>
      <c r="AJ56" s="100"/>
      <c r="AK56" s="100"/>
      <c r="AL56" s="100"/>
      <c r="AM56" s="100"/>
      <c r="AN56" s="100"/>
      <c r="AO56" s="100"/>
    </row>
    <row r="57" spans="1:41" x14ac:dyDescent="0.2">
      <c r="A57" s="3"/>
      <c r="B57" s="112"/>
      <c r="C57" s="132" t="s">
        <v>1281</v>
      </c>
      <c r="D57" s="133"/>
      <c r="E57" s="442" t="str">
        <f>Förderungen!H35</f>
        <v>-</v>
      </c>
      <c r="F57" s="442" t="str">
        <f t="shared" si="16"/>
        <v>-</v>
      </c>
      <c r="G57" s="112"/>
      <c r="H57" s="132" t="str">
        <f>IF(Eingabe!$H$37&lt;$D$54,D57,IF(Eingabe!$H$37&lt;=$E$54,E57,IF(Eingabe!$H$37&gt;$E$54,F57,"")))</f>
        <v>-</v>
      </c>
      <c r="I57" s="444">
        <f t="shared" si="17"/>
        <v>0</v>
      </c>
      <c r="J57" s="115"/>
      <c r="K57" s="112"/>
      <c r="L57" s="132"/>
      <c r="M57" s="133"/>
      <c r="N57" s="133"/>
      <c r="O57" s="133"/>
      <c r="P57" s="118"/>
      <c r="Q57" s="118"/>
      <c r="R57" s="118"/>
      <c r="S57" s="118"/>
      <c r="T57" s="118"/>
      <c r="U57" s="118"/>
      <c r="V57" s="118"/>
      <c r="W57" s="118"/>
      <c r="X57" s="118"/>
      <c r="Y57" s="100"/>
      <c r="Z57" s="100"/>
      <c r="AA57" s="100"/>
      <c r="AB57" s="100"/>
      <c r="AC57" s="100"/>
      <c r="AD57" s="100"/>
      <c r="AE57" s="100"/>
      <c r="AF57" s="100"/>
      <c r="AG57" s="100"/>
      <c r="AH57" s="100"/>
      <c r="AI57" s="100"/>
      <c r="AJ57" s="100"/>
      <c r="AK57" s="100"/>
      <c r="AL57" s="100"/>
      <c r="AM57" s="100"/>
      <c r="AN57" s="100"/>
      <c r="AO57" s="100"/>
    </row>
    <row r="58" spans="1:41" x14ac:dyDescent="0.2">
      <c r="A58" s="3"/>
      <c r="B58" s="112"/>
      <c r="C58" s="132" t="s">
        <v>520</v>
      </c>
      <c r="D58" s="133"/>
      <c r="E58" s="442" t="str">
        <f>Förderungen!H47</f>
        <v>-</v>
      </c>
      <c r="F58" s="442" t="str">
        <f t="shared" si="16"/>
        <v>-</v>
      </c>
      <c r="G58" s="112"/>
      <c r="H58" s="132" t="str">
        <f>IF(Eingabe!$H$37&lt;$D$54,D58,IF(Eingabe!$H$37&lt;=$E$54,E58,IF(Eingabe!$H$37&gt;$E$54,F58,"")))</f>
        <v>-</v>
      </c>
      <c r="I58" s="444">
        <f t="shared" si="17"/>
        <v>0</v>
      </c>
      <c r="J58" s="115"/>
      <c r="K58" s="112"/>
      <c r="L58" s="132"/>
      <c r="M58" s="133"/>
      <c r="N58" s="133"/>
      <c r="O58" s="133"/>
      <c r="P58" s="118"/>
      <c r="Q58" s="118"/>
      <c r="R58" s="118"/>
      <c r="S58" s="118"/>
      <c r="T58" s="118"/>
      <c r="U58" s="118"/>
      <c r="V58" s="118"/>
      <c r="W58" s="118"/>
      <c r="X58" s="118"/>
      <c r="Y58" s="100"/>
      <c r="Z58" s="100"/>
      <c r="AA58" s="100"/>
      <c r="AB58" s="100"/>
      <c r="AC58" s="100"/>
      <c r="AD58" s="100"/>
      <c r="AE58" s="100"/>
      <c r="AF58" s="100"/>
      <c r="AG58" s="100"/>
      <c r="AH58" s="100"/>
      <c r="AI58" s="100"/>
      <c r="AJ58" s="100"/>
      <c r="AK58" s="100"/>
      <c r="AL58" s="100"/>
      <c r="AM58" s="100"/>
      <c r="AN58" s="100"/>
      <c r="AO58" s="100"/>
    </row>
    <row r="59" spans="1:41" x14ac:dyDescent="0.2">
      <c r="A59" s="3"/>
      <c r="B59" s="112"/>
      <c r="C59" s="132" t="s">
        <v>669</v>
      </c>
      <c r="D59" s="133"/>
      <c r="E59" s="442" t="str">
        <f>Förderungen!H47</f>
        <v>-</v>
      </c>
      <c r="F59" s="442" t="str">
        <f t="shared" si="16"/>
        <v>-</v>
      </c>
      <c r="G59" s="112"/>
      <c r="H59" s="132" t="str">
        <f>IF(Eingabe!$H$37&lt;$D$54,D59,IF(Eingabe!$H$37&lt;=$E$54,E59,IF(Eingabe!$H$37&gt;$E$54,F59,"")))</f>
        <v>-</v>
      </c>
      <c r="I59" s="444">
        <f t="shared" si="17"/>
        <v>0</v>
      </c>
      <c r="J59" s="115"/>
      <c r="K59" s="112"/>
      <c r="L59" s="132"/>
      <c r="M59" s="133"/>
      <c r="N59" s="133"/>
      <c r="O59" s="133"/>
      <c r="P59" s="118"/>
      <c r="Q59" s="118"/>
      <c r="R59" s="118"/>
      <c r="S59" s="118"/>
      <c r="T59" s="118"/>
      <c r="U59" s="118"/>
      <c r="V59" s="118"/>
      <c r="W59" s="118"/>
      <c r="X59" s="118"/>
      <c r="Y59" s="100"/>
      <c r="Z59" s="100"/>
      <c r="AA59" s="100"/>
      <c r="AB59" s="100"/>
      <c r="AC59" s="100"/>
      <c r="AD59" s="100"/>
      <c r="AE59" s="100"/>
      <c r="AF59" s="100"/>
      <c r="AG59" s="100"/>
      <c r="AH59" s="100"/>
      <c r="AI59" s="100"/>
      <c r="AJ59" s="100"/>
      <c r="AK59" s="100"/>
      <c r="AL59" s="100"/>
      <c r="AM59" s="100"/>
      <c r="AN59" s="100"/>
      <c r="AO59" s="100"/>
    </row>
    <row r="60" spans="1:41" x14ac:dyDescent="0.2">
      <c r="A60" s="3"/>
      <c r="B60" s="112"/>
      <c r="C60" s="132" t="s">
        <v>2580</v>
      </c>
      <c r="D60" s="133"/>
      <c r="E60" s="442" t="str">
        <f>Förderungen!H73</f>
        <v>-</v>
      </c>
      <c r="F60" s="442" t="str">
        <f t="shared" si="16"/>
        <v>-</v>
      </c>
      <c r="G60" s="424"/>
      <c r="H60" s="132" t="str">
        <f>IF(Eingabe!$H$37&lt;$D$54,D60,IF(Eingabe!$H$37&lt;=$E$54,E60,IF(Eingabe!$H$37&gt;$E$54,F60,"")))</f>
        <v>-</v>
      </c>
      <c r="I60" s="444">
        <f t="shared" si="17"/>
        <v>0</v>
      </c>
      <c r="J60" s="115"/>
      <c r="K60" s="112"/>
      <c r="L60" s="132"/>
      <c r="M60" s="133"/>
      <c r="N60" s="133"/>
      <c r="O60" s="133"/>
      <c r="P60" s="118"/>
      <c r="Q60" s="118"/>
      <c r="R60" s="118"/>
      <c r="S60" s="118"/>
      <c r="T60" s="118"/>
      <c r="U60" s="118"/>
      <c r="V60" s="118"/>
      <c r="W60" s="118"/>
      <c r="X60" s="118"/>
      <c r="Y60" s="100"/>
      <c r="Z60" s="100"/>
      <c r="AA60" s="100"/>
      <c r="AB60" s="100"/>
      <c r="AC60" s="100"/>
      <c r="AD60" s="100"/>
      <c r="AE60" s="100"/>
      <c r="AF60" s="100"/>
      <c r="AG60" s="100"/>
      <c r="AH60" s="100"/>
      <c r="AI60" s="100"/>
      <c r="AJ60" s="100"/>
      <c r="AK60" s="100"/>
      <c r="AL60" s="100"/>
      <c r="AM60" s="100"/>
      <c r="AN60" s="100"/>
      <c r="AO60" s="100"/>
    </row>
    <row r="61" spans="1:41" x14ac:dyDescent="0.2">
      <c r="A61" s="3"/>
      <c r="B61" s="112"/>
      <c r="C61" s="132" t="s">
        <v>871</v>
      </c>
      <c r="D61" s="133"/>
      <c r="E61" s="442" t="str">
        <f>Förderungen!H85</f>
        <v>-</v>
      </c>
      <c r="F61" s="442" t="str">
        <f t="shared" si="16"/>
        <v>-</v>
      </c>
      <c r="G61" s="424"/>
      <c r="H61" s="132" t="str">
        <f>IF(Eingabe!$H$37&lt;$D$54,D61,IF(Eingabe!$H$37&lt;=$E$54,E61,IF(Eingabe!$H$37&gt;$E$54,F61,"")))</f>
        <v>-</v>
      </c>
      <c r="I61" s="444">
        <f t="shared" si="17"/>
        <v>0</v>
      </c>
      <c r="J61" s="115"/>
      <c r="K61" s="112"/>
      <c r="L61" s="132"/>
      <c r="M61" s="133"/>
      <c r="N61" s="133"/>
      <c r="O61" s="133"/>
      <c r="P61" s="118"/>
      <c r="Q61" s="118"/>
      <c r="R61" s="118"/>
      <c r="S61" s="118"/>
      <c r="T61" s="118"/>
      <c r="U61" s="118"/>
      <c r="V61" s="118"/>
      <c r="W61" s="118"/>
      <c r="X61" s="118"/>
      <c r="Y61" s="100"/>
      <c r="Z61" s="100"/>
      <c r="AA61" s="100"/>
      <c r="AB61" s="100"/>
      <c r="AC61" s="100"/>
      <c r="AD61" s="100"/>
      <c r="AE61" s="100"/>
      <c r="AF61" s="100"/>
      <c r="AG61" s="100"/>
      <c r="AH61" s="100"/>
      <c r="AI61" s="100"/>
      <c r="AJ61" s="100"/>
      <c r="AK61" s="100"/>
      <c r="AL61" s="100"/>
      <c r="AM61" s="100"/>
      <c r="AN61" s="100"/>
      <c r="AO61" s="100"/>
    </row>
    <row r="62" spans="1:41" x14ac:dyDescent="0.2">
      <c r="A62" s="3"/>
      <c r="B62" s="112"/>
      <c r="C62" s="132" t="s">
        <v>1075</v>
      </c>
      <c r="D62" s="133"/>
      <c r="E62" s="442" t="str">
        <f>Förderungen!H97</f>
        <v>-</v>
      </c>
      <c r="F62" s="442" t="str">
        <f t="shared" si="16"/>
        <v>-</v>
      </c>
      <c r="G62" s="112"/>
      <c r="H62" s="132" t="str">
        <f>IF(Eingabe!$H$37&lt;$D$54,D62,IF(Eingabe!$H$37&lt;=$E$54,E62,IF(Eingabe!$H$37&gt;$E$54,F62,"")))</f>
        <v>-</v>
      </c>
      <c r="I62" s="444">
        <f t="shared" si="17"/>
        <v>0</v>
      </c>
      <c r="J62" s="115"/>
      <c r="K62" s="112"/>
      <c r="L62" s="112"/>
      <c r="M62" s="112"/>
      <c r="P62" s="118"/>
      <c r="Q62" s="118"/>
      <c r="R62" s="118"/>
      <c r="S62" s="118"/>
      <c r="T62" s="118"/>
      <c r="U62" s="118"/>
      <c r="V62" s="118"/>
      <c r="W62" s="118"/>
      <c r="X62" s="118"/>
      <c r="Y62" s="100"/>
      <c r="Z62" s="100"/>
      <c r="AA62" s="100"/>
      <c r="AB62" s="100"/>
      <c r="AC62" s="100"/>
      <c r="AD62" s="100"/>
      <c r="AE62" s="100"/>
      <c r="AF62" s="100"/>
      <c r="AG62" s="100"/>
      <c r="AH62" s="100"/>
      <c r="AI62" s="100"/>
      <c r="AJ62" s="100"/>
      <c r="AK62" s="100"/>
      <c r="AL62" s="100"/>
      <c r="AM62" s="100"/>
      <c r="AN62" s="100"/>
      <c r="AO62" s="100"/>
    </row>
    <row r="63" spans="1:41" x14ac:dyDescent="0.2">
      <c r="A63" s="3"/>
      <c r="B63" s="112"/>
      <c r="C63" s="132" t="s">
        <v>1264</v>
      </c>
      <c r="D63" s="133"/>
      <c r="E63" s="442" t="str">
        <f>Förderungen!H109</f>
        <v>-</v>
      </c>
      <c r="F63" s="442" t="str">
        <f t="shared" si="16"/>
        <v>-</v>
      </c>
      <c r="G63" s="112"/>
      <c r="H63" s="132" t="str">
        <f>IF(Eingabe!$H$37&lt;$D$54,D63,IF(Eingabe!$H$37&lt;=$E$54,E63,IF(Eingabe!$H$37&gt;$E$54,F63,"")))</f>
        <v>-</v>
      </c>
      <c r="I63" s="444" t="str">
        <f t="shared" si="17"/>
        <v>-</v>
      </c>
      <c r="J63" s="115"/>
      <c r="K63" s="112"/>
      <c r="L63" s="112"/>
      <c r="M63" s="112"/>
      <c r="P63" s="118"/>
      <c r="Q63" s="118"/>
      <c r="R63" s="118"/>
      <c r="S63" s="118"/>
      <c r="T63" s="118"/>
      <c r="U63" s="118"/>
      <c r="V63" s="118"/>
      <c r="W63" s="118"/>
      <c r="X63" s="118"/>
      <c r="Y63" s="100"/>
      <c r="Z63" s="100"/>
      <c r="AA63" s="100"/>
      <c r="AB63" s="100"/>
      <c r="AC63" s="100"/>
      <c r="AD63" s="100"/>
      <c r="AE63" s="100"/>
      <c r="AF63" s="100"/>
      <c r="AG63" s="100"/>
      <c r="AH63" s="100"/>
      <c r="AI63" s="100"/>
      <c r="AJ63" s="100"/>
      <c r="AK63" s="100"/>
      <c r="AL63" s="100"/>
      <c r="AM63" s="100"/>
      <c r="AN63" s="100"/>
      <c r="AO63" s="100"/>
    </row>
    <row r="64" spans="1:41" x14ac:dyDescent="0.2">
      <c r="A64" s="3"/>
      <c r="B64" s="112"/>
      <c r="C64" s="112"/>
      <c r="D64" s="112"/>
      <c r="E64" s="112"/>
      <c r="F64" s="112"/>
      <c r="G64" s="112"/>
      <c r="H64" s="443">
        <f>SUM(I55:I63)</f>
        <v>0</v>
      </c>
      <c r="I64" s="115"/>
      <c r="J64" s="115"/>
      <c r="K64" s="112"/>
      <c r="L64" s="112"/>
      <c r="M64" s="112"/>
      <c r="P64" s="118"/>
      <c r="Q64" s="118"/>
      <c r="R64" s="118"/>
      <c r="S64" s="118"/>
      <c r="T64" s="118"/>
      <c r="U64" s="118"/>
      <c r="V64" s="118"/>
      <c r="W64" s="118"/>
      <c r="X64" s="118"/>
      <c r="Y64" s="100"/>
      <c r="Z64" s="100"/>
      <c r="AA64" s="100"/>
      <c r="AB64" s="100"/>
      <c r="AC64" s="100"/>
      <c r="AD64" s="100"/>
      <c r="AE64" s="100"/>
      <c r="AF64" s="100"/>
      <c r="AG64" s="100"/>
      <c r="AH64" s="100"/>
      <c r="AI64" s="100"/>
      <c r="AJ64" s="100"/>
      <c r="AK64" s="100"/>
      <c r="AL64" s="100"/>
      <c r="AM64" s="100"/>
      <c r="AN64" s="100"/>
      <c r="AO64" s="100"/>
    </row>
    <row r="65" spans="2:24" s="3" customFormat="1" x14ac:dyDescent="0.2">
      <c r="B65" s="112"/>
      <c r="C65" s="112"/>
      <c r="D65" s="112"/>
      <c r="E65" s="112"/>
      <c r="F65" s="112"/>
      <c r="G65" s="112"/>
      <c r="H65" s="115"/>
      <c r="I65" s="115"/>
      <c r="J65" s="115"/>
      <c r="K65" s="112"/>
      <c r="L65" s="112"/>
      <c r="M65" s="112"/>
      <c r="N65" s="112"/>
      <c r="O65" s="112"/>
      <c r="P65" s="118"/>
      <c r="Q65" s="112"/>
      <c r="R65" s="112"/>
      <c r="S65" s="112"/>
      <c r="T65" s="112"/>
      <c r="U65" s="112"/>
      <c r="V65" s="112"/>
      <c r="W65" s="112"/>
      <c r="X65" s="112"/>
    </row>
    <row r="66" spans="2:24" s="3" customFormat="1" x14ac:dyDescent="0.2">
      <c r="B66" s="112"/>
      <c r="C66" s="112"/>
      <c r="D66" s="112"/>
      <c r="E66" s="115"/>
      <c r="F66" s="112"/>
      <c r="G66" s="112"/>
      <c r="H66" s="115"/>
      <c r="I66" s="115"/>
      <c r="J66" s="115"/>
      <c r="K66" s="112"/>
      <c r="L66" s="112"/>
      <c r="M66" s="112"/>
      <c r="N66" s="112"/>
      <c r="O66" s="112"/>
      <c r="P66" s="118"/>
      <c r="Q66" s="112"/>
      <c r="R66" s="112"/>
      <c r="S66" s="112"/>
      <c r="T66" s="112"/>
      <c r="U66" s="112"/>
      <c r="V66" s="112"/>
      <c r="W66" s="112"/>
      <c r="X66" s="112"/>
    </row>
    <row r="67" spans="2:24" s="3" customFormat="1" x14ac:dyDescent="0.2">
      <c r="B67" s="112"/>
      <c r="C67" s="112"/>
      <c r="D67" s="112"/>
      <c r="E67" s="115"/>
      <c r="F67" s="112"/>
      <c r="G67" s="112"/>
      <c r="H67" s="115"/>
      <c r="I67" s="115"/>
      <c r="J67" s="115"/>
      <c r="K67" s="112"/>
      <c r="L67" s="112"/>
      <c r="M67" s="112"/>
      <c r="N67" s="112"/>
      <c r="O67" s="112"/>
      <c r="P67" s="118"/>
      <c r="Q67" s="112"/>
      <c r="R67" s="112"/>
      <c r="S67" s="112"/>
      <c r="T67" s="112"/>
      <c r="U67" s="112"/>
      <c r="V67" s="112"/>
      <c r="W67" s="112"/>
      <c r="X67" s="112"/>
    </row>
    <row r="68" spans="2:24" s="3" customFormat="1" x14ac:dyDescent="0.2">
      <c r="B68" s="112"/>
      <c r="C68" s="112"/>
      <c r="D68" s="112"/>
      <c r="E68" s="115"/>
      <c r="F68" s="112"/>
      <c r="G68" s="112"/>
      <c r="H68" s="115"/>
      <c r="I68" s="115"/>
      <c r="J68" s="115"/>
      <c r="K68" s="112"/>
      <c r="L68" s="112"/>
      <c r="M68" s="134"/>
      <c r="N68" s="134"/>
      <c r="O68" s="112"/>
      <c r="P68" s="118"/>
      <c r="Q68" s="112"/>
      <c r="R68" s="112"/>
      <c r="S68" s="112"/>
      <c r="T68" s="112"/>
      <c r="U68" s="112"/>
      <c r="V68" s="112"/>
      <c r="W68" s="112"/>
      <c r="X68" s="112"/>
    </row>
    <row r="69" spans="2:24" s="3" customFormat="1" x14ac:dyDescent="0.2">
      <c r="B69" s="112"/>
      <c r="C69" s="112"/>
      <c r="D69" s="112"/>
      <c r="E69" s="115"/>
      <c r="F69" s="112"/>
      <c r="G69" s="112"/>
      <c r="H69" s="115"/>
      <c r="I69" s="115"/>
      <c r="J69" s="115"/>
      <c r="K69" s="112"/>
      <c r="L69" s="112"/>
      <c r="M69" s="112"/>
      <c r="N69" s="112"/>
      <c r="O69" s="112"/>
      <c r="P69" s="118"/>
      <c r="Q69" s="112"/>
      <c r="R69" s="112"/>
      <c r="S69" s="112"/>
      <c r="T69" s="112"/>
      <c r="U69" s="112"/>
      <c r="V69" s="112"/>
      <c r="W69" s="112"/>
      <c r="X69" s="112"/>
    </row>
    <row r="70" spans="2:24" s="3" customFormat="1" x14ac:dyDescent="0.2">
      <c r="B70" s="134" t="s">
        <v>2296</v>
      </c>
      <c r="C70" s="112"/>
      <c r="D70" s="112"/>
      <c r="E70" s="115"/>
      <c r="F70" s="112"/>
      <c r="G70" s="112"/>
      <c r="H70" s="115"/>
      <c r="I70" s="115"/>
      <c r="J70" s="112"/>
      <c r="K70" s="132" t="s">
        <v>1264</v>
      </c>
      <c r="L70" s="112"/>
      <c r="M70" s="112"/>
      <c r="N70" s="112"/>
      <c r="O70" s="132"/>
      <c r="P70" s="416"/>
      <c r="Q70" s="112"/>
      <c r="R70" s="112"/>
      <c r="S70" s="112"/>
      <c r="T70" s="112"/>
      <c r="U70" s="112"/>
      <c r="V70" s="112"/>
      <c r="W70" s="112"/>
      <c r="X70" s="112"/>
    </row>
    <row r="71" spans="2:24" s="3" customFormat="1" x14ac:dyDescent="0.2">
      <c r="B71" s="132"/>
      <c r="C71" s="112"/>
      <c r="D71" s="112"/>
      <c r="E71" s="115"/>
      <c r="F71" s="112"/>
      <c r="G71" s="112"/>
      <c r="H71" s="115"/>
      <c r="I71" s="115"/>
      <c r="J71" s="112"/>
      <c r="K71" s="133" t="str">
        <f>IF($C$6=B73,$D$63,"")</f>
        <v/>
      </c>
      <c r="L71" s="112"/>
      <c r="M71" s="112"/>
      <c r="N71" s="112"/>
      <c r="O71" s="114"/>
      <c r="P71" s="416"/>
      <c r="Q71" s="112"/>
      <c r="R71" s="112"/>
      <c r="S71" s="112"/>
      <c r="T71" s="112"/>
      <c r="U71" s="112"/>
      <c r="V71" s="112"/>
      <c r="W71" s="112"/>
      <c r="X71" s="112"/>
    </row>
    <row r="72" spans="2:24" s="3" customFormat="1" x14ac:dyDescent="0.2">
      <c r="B72" s="132" t="s">
        <v>2165</v>
      </c>
      <c r="C72" s="132" t="s">
        <v>1805</v>
      </c>
      <c r="D72" s="132" t="s">
        <v>1475</v>
      </c>
      <c r="E72" s="445" t="s">
        <v>1281</v>
      </c>
      <c r="F72" s="132" t="s">
        <v>520</v>
      </c>
      <c r="G72" s="132" t="s">
        <v>669</v>
      </c>
      <c r="H72" s="445" t="s">
        <v>2580</v>
      </c>
      <c r="I72" s="445" t="s">
        <v>871</v>
      </c>
      <c r="J72" s="132" t="s">
        <v>1075</v>
      </c>
      <c r="K72" s="133" t="str">
        <f>IF($C$6=B74,$D$63,"")</f>
        <v/>
      </c>
      <c r="L72" s="112"/>
      <c r="M72" s="112"/>
      <c r="N72" s="112"/>
      <c r="O72" s="114"/>
      <c r="P72" s="416"/>
      <c r="Q72" s="112"/>
      <c r="R72" s="112"/>
      <c r="S72" s="112"/>
      <c r="T72" s="112"/>
      <c r="U72" s="112"/>
      <c r="V72" s="112"/>
      <c r="W72" s="112"/>
      <c r="X72" s="112"/>
    </row>
    <row r="73" spans="2:24" s="3" customFormat="1" x14ac:dyDescent="0.2">
      <c r="B73" s="132">
        <v>1</v>
      </c>
      <c r="C73" s="133" t="str">
        <f>IF($C$6=B73,$D$55,"")</f>
        <v/>
      </c>
      <c r="D73" s="133" t="str">
        <f>IF($C$6=B73,$D$56,"")</f>
        <v/>
      </c>
      <c r="E73" s="133" t="str">
        <f>IF($C$6=B73,$D$57,"")</f>
        <v/>
      </c>
      <c r="F73" s="133" t="str">
        <f>IF($C$6=B73,$D$58,"")</f>
        <v/>
      </c>
      <c r="G73" s="133" t="str">
        <f>IF($C$6=B73,$D$59,"")</f>
        <v/>
      </c>
      <c r="H73" s="133" t="str">
        <f>IF($C$6=B73,$D$60,"")</f>
        <v/>
      </c>
      <c r="I73" s="133" t="str">
        <f>IF($C$6=B73,$D$61,"")</f>
        <v/>
      </c>
      <c r="J73" s="133" t="str">
        <f>IF($C$6=B73,$D$62,"")</f>
        <v/>
      </c>
      <c r="K73" s="133" t="str">
        <f>IF($C$6=B75,$D$63,"")</f>
        <v/>
      </c>
      <c r="L73" s="112"/>
      <c r="M73" s="112"/>
      <c r="N73" s="112"/>
      <c r="O73" s="114"/>
      <c r="P73" s="416"/>
      <c r="Q73" s="112"/>
      <c r="R73" s="112"/>
      <c r="S73" s="112"/>
      <c r="T73" s="112"/>
      <c r="U73" s="112"/>
      <c r="V73" s="112"/>
      <c r="W73" s="112"/>
      <c r="X73" s="112"/>
    </row>
    <row r="74" spans="2:24" s="3" customFormat="1" x14ac:dyDescent="0.2">
      <c r="B74" s="132">
        <v>2</v>
      </c>
      <c r="C74" s="133" t="str">
        <f>IF($C$6=B74,$D$55,"")</f>
        <v/>
      </c>
      <c r="D74" s="133" t="str">
        <f>IF($C$6=B74,$D$56,"")</f>
        <v/>
      </c>
      <c r="E74" s="133" t="str">
        <f>IF($C$6=B74,$D$57,"")</f>
        <v/>
      </c>
      <c r="F74" s="133" t="str">
        <f>IF($C$6=B74,$D$58,"")</f>
        <v/>
      </c>
      <c r="G74" s="133" t="str">
        <f>IF($C$6=B74,$D$59,"")</f>
        <v/>
      </c>
      <c r="H74" s="133" t="str">
        <f>IF($C$6=B74,$D$60,"")</f>
        <v/>
      </c>
      <c r="I74" s="133" t="str">
        <f>IF($C$6=B74,$D$61,"")</f>
        <v/>
      </c>
      <c r="J74" s="133" t="str">
        <f>IF($C$6=B74,$D$62,"")</f>
        <v/>
      </c>
      <c r="K74" s="133" t="str">
        <f>IF($C$6=B76,$D$63,"")</f>
        <v/>
      </c>
      <c r="L74" s="112"/>
      <c r="M74" s="112"/>
      <c r="N74" s="112"/>
      <c r="O74" s="114"/>
      <c r="P74" s="416"/>
      <c r="Q74" s="112"/>
      <c r="R74" s="112"/>
      <c r="S74" s="112"/>
      <c r="T74" s="112"/>
      <c r="U74" s="112"/>
      <c r="V74" s="112"/>
      <c r="W74" s="112"/>
      <c r="X74" s="112"/>
    </row>
    <row r="75" spans="2:24" s="3" customFormat="1" x14ac:dyDescent="0.2">
      <c r="B75" s="132">
        <v>3</v>
      </c>
      <c r="C75" s="133" t="str">
        <f>IF($C$6=B75,$D$55,"")</f>
        <v/>
      </c>
      <c r="D75" s="133" t="str">
        <f>IF($C$6=B75,$D$56,"")</f>
        <v/>
      </c>
      <c r="E75" s="133" t="str">
        <f>IF($C$6=B75,$D$57,"")</f>
        <v/>
      </c>
      <c r="F75" s="133" t="str">
        <f>IF($C$6=B75,$D$58,"")</f>
        <v/>
      </c>
      <c r="G75" s="133" t="str">
        <f>IF($C$6=B75,$D$59,"")</f>
        <v/>
      </c>
      <c r="H75" s="133" t="str">
        <f>IF($C$6=B75,$D$60,"")</f>
        <v/>
      </c>
      <c r="I75" s="133" t="str">
        <f>IF($C$6=B75,$D$61,"")</f>
        <v/>
      </c>
      <c r="J75" s="133" t="str">
        <f>IF($C$6=B75,$D$62,"")</f>
        <v/>
      </c>
      <c r="K75" s="133" t="str">
        <f>IF($C$6=B77,$E$63,"")</f>
        <v/>
      </c>
      <c r="L75" s="112"/>
      <c r="M75" s="112"/>
      <c r="N75" s="112"/>
      <c r="O75" s="114"/>
      <c r="P75" s="416"/>
      <c r="Q75" s="112"/>
      <c r="R75" s="112"/>
      <c r="S75" s="112"/>
      <c r="T75" s="112"/>
      <c r="U75" s="112"/>
      <c r="V75" s="112"/>
      <c r="W75" s="112"/>
      <c r="X75" s="112"/>
    </row>
    <row r="76" spans="2:24" s="3" customFormat="1" x14ac:dyDescent="0.2">
      <c r="B76" s="132">
        <v>4</v>
      </c>
      <c r="C76" s="133" t="str">
        <f>IF($C$6=B76,$D$55,"")</f>
        <v/>
      </c>
      <c r="D76" s="133" t="str">
        <f>IF($C$6=B76,$D$56,"")</f>
        <v/>
      </c>
      <c r="E76" s="133" t="str">
        <f>IF($C$6=B76,$D$57,"")</f>
        <v/>
      </c>
      <c r="F76" s="133" t="str">
        <f>IF($C$6=B76,$D$58,"")</f>
        <v/>
      </c>
      <c r="G76" s="133" t="str">
        <f>IF($C$6=B76,$D$59,"")</f>
        <v/>
      </c>
      <c r="H76" s="133" t="str">
        <f>IF($C$6=B76,$D$60,"")</f>
        <v/>
      </c>
      <c r="I76" s="133" t="str">
        <f>IF($C$6=B76,$D$61,"")</f>
        <v/>
      </c>
      <c r="J76" s="133" t="str">
        <f>IF($C$6=B76,$D$62,"")</f>
        <v/>
      </c>
      <c r="K76" s="133" t="str">
        <f>IF($C$6=B78,$E$63,"")</f>
        <v>-</v>
      </c>
      <c r="L76" s="112"/>
      <c r="M76" s="112"/>
      <c r="N76" s="112"/>
      <c r="O76" s="114"/>
      <c r="P76" s="114"/>
      <c r="Q76" s="112"/>
      <c r="R76" s="112"/>
      <c r="S76" s="112"/>
      <c r="T76" s="112"/>
      <c r="U76" s="112"/>
      <c r="V76" s="112"/>
      <c r="W76" s="112"/>
      <c r="X76" s="112"/>
    </row>
    <row r="77" spans="2:24" s="3" customFormat="1" x14ac:dyDescent="0.2">
      <c r="B77" s="132">
        <v>5.01</v>
      </c>
      <c r="C77" s="133" t="str">
        <f>IF($C$6&lt;$B$77,$E$55,"")</f>
        <v/>
      </c>
      <c r="D77" s="133" t="str">
        <f>IF($C$6=B77,$E$56,"")</f>
        <v/>
      </c>
      <c r="E77" s="133" t="str">
        <f>IF($C$6=B77,$E$57,"")</f>
        <v/>
      </c>
      <c r="F77" s="133" t="str">
        <f>IF($C$6=B77,$E$58,"")</f>
        <v/>
      </c>
      <c r="G77" s="133" t="str">
        <f>IF($C$6=B77,$E$59,"")</f>
        <v/>
      </c>
      <c r="H77" s="133" t="str">
        <f>IF($C$6=B77,$E$60,"")</f>
        <v/>
      </c>
      <c r="I77" s="133" t="str">
        <f>IF($C$6=B77,$E$61,"")</f>
        <v/>
      </c>
      <c r="J77" s="133" t="str">
        <f>IF($C$6=B77,$E$62,"")</f>
        <v/>
      </c>
      <c r="K77" s="133" t="str">
        <f>IF($C$6=B79,$E$63,"")</f>
        <v/>
      </c>
      <c r="L77" s="112"/>
      <c r="M77" s="112"/>
      <c r="N77" s="112"/>
      <c r="O77" s="114"/>
      <c r="P77" s="114"/>
      <c r="Q77" s="112"/>
      <c r="R77" s="112"/>
      <c r="S77" s="112"/>
      <c r="T77" s="112"/>
      <c r="U77" s="112"/>
      <c r="V77" s="112"/>
      <c r="W77" s="112"/>
      <c r="X77" s="112"/>
    </row>
    <row r="78" spans="2:24" s="3" customFormat="1" x14ac:dyDescent="0.2">
      <c r="B78" s="132">
        <v>6</v>
      </c>
      <c r="C78" s="133" t="str">
        <f>IF($C$6=B78,$E$55,"")</f>
        <v>-</v>
      </c>
      <c r="D78" s="133" t="str">
        <f>IF($C$6=B78,$E$56,"")</f>
        <v>-</v>
      </c>
      <c r="E78" s="133" t="str">
        <f>IF($C$6=B78,$E$57,"")</f>
        <v>-</v>
      </c>
      <c r="F78" s="133" t="str">
        <f>IF($C$6=B78,$E$58,"")</f>
        <v>-</v>
      </c>
      <c r="G78" s="133" t="str">
        <f>IF($C$6=B78,$E$59,"")</f>
        <v>-</v>
      </c>
      <c r="H78" s="133" t="str">
        <f>IF($C$6=B78,$E$60,"")</f>
        <v>-</v>
      </c>
      <c r="I78" s="133" t="str">
        <f>IF($C$6=B78,$E$61,"")</f>
        <v>-</v>
      </c>
      <c r="J78" s="133" t="str">
        <f>IF($C$6=B78,$E$62,"")</f>
        <v>-</v>
      </c>
      <c r="K78" s="133" t="str">
        <f>IF($C$6=B80,$E$63,"")</f>
        <v/>
      </c>
      <c r="L78" s="112"/>
      <c r="M78" s="112"/>
      <c r="N78" s="112"/>
      <c r="O78" s="114"/>
      <c r="P78" s="114"/>
      <c r="Q78" s="112"/>
      <c r="R78" s="112"/>
      <c r="S78" s="112"/>
      <c r="T78" s="112"/>
      <c r="U78" s="112"/>
      <c r="V78" s="112"/>
      <c r="W78" s="112"/>
      <c r="X78" s="112"/>
    </row>
    <row r="79" spans="2:24" s="3" customFormat="1" x14ac:dyDescent="0.2">
      <c r="B79" s="132">
        <v>7</v>
      </c>
      <c r="C79" s="133" t="str">
        <f>IF($C$6=B79,$E$55,"")</f>
        <v/>
      </c>
      <c r="D79" s="133" t="str">
        <f>IF($C$6=B79,$E$56,"")</f>
        <v/>
      </c>
      <c r="E79" s="133" t="str">
        <f>IF($C$6=B79,$E$57,"")</f>
        <v/>
      </c>
      <c r="F79" s="133" t="str">
        <f>IF($C$6=B79,$E$58,"")</f>
        <v/>
      </c>
      <c r="G79" s="133" t="str">
        <f>IF($C$6=B79,$E$59,"")</f>
        <v/>
      </c>
      <c r="H79" s="133" t="str">
        <f>IF($C$6=B79,$E$60,"")</f>
        <v/>
      </c>
      <c r="I79" s="133" t="str">
        <f>IF($C$6=B79,$E$61,"")</f>
        <v/>
      </c>
      <c r="J79" s="133" t="str">
        <f>IF($C$6=B79,$E$62,"")</f>
        <v/>
      </c>
      <c r="K79" s="133" t="str">
        <f>IF($C$6=B81,$E$63,"")</f>
        <v/>
      </c>
      <c r="L79" s="112"/>
      <c r="M79" s="112"/>
      <c r="N79" s="112"/>
      <c r="O79" s="114"/>
      <c r="P79" s="114"/>
      <c r="Q79" s="112"/>
      <c r="R79" s="112"/>
      <c r="S79" s="112"/>
      <c r="T79" s="112"/>
      <c r="U79" s="112"/>
      <c r="V79" s="112"/>
      <c r="W79" s="112"/>
      <c r="X79" s="112"/>
    </row>
    <row r="80" spans="2:24" s="3" customFormat="1" x14ac:dyDescent="0.2">
      <c r="B80" s="132">
        <v>8</v>
      </c>
      <c r="C80" s="133" t="str">
        <f>IF($C$6=B80,$E$55,"")</f>
        <v/>
      </c>
      <c r="D80" s="133" t="str">
        <f>IF($C$6=B80,$E$56,"")</f>
        <v/>
      </c>
      <c r="E80" s="133" t="str">
        <f>IF($C$6=B80,$E$57,"")</f>
        <v/>
      </c>
      <c r="F80" s="133" t="str">
        <f>IF($C$6=B80,$E$58,"")</f>
        <v/>
      </c>
      <c r="G80" s="133" t="str">
        <f>IF($C$6=B80,$E$59,"")</f>
        <v/>
      </c>
      <c r="H80" s="133" t="str">
        <f>IF($C$6=B80,$E$60,"")</f>
        <v/>
      </c>
      <c r="I80" s="133" t="str">
        <f>IF($C$6=B80,$E$61,"")</f>
        <v/>
      </c>
      <c r="J80" s="133" t="str">
        <f>IF($C$6=B80,$E$62,"")</f>
        <v/>
      </c>
      <c r="K80" s="133" t="str">
        <f t="shared" ref="K80:K85" si="18">IF($C$6=B82,$F$63,"")</f>
        <v/>
      </c>
      <c r="L80" s="112"/>
      <c r="M80" s="112"/>
      <c r="N80" s="112"/>
      <c r="O80" s="114"/>
      <c r="P80" s="114"/>
      <c r="Q80" s="112"/>
      <c r="R80" s="112"/>
      <c r="S80" s="112"/>
      <c r="T80" s="112"/>
      <c r="U80" s="112"/>
      <c r="V80" s="112"/>
      <c r="W80" s="112"/>
      <c r="X80" s="112"/>
    </row>
    <row r="81" spans="2:24" s="3" customFormat="1" x14ac:dyDescent="0.2">
      <c r="B81" s="132">
        <v>9</v>
      </c>
      <c r="C81" s="133" t="str">
        <f>IF($C$6=B81,$E$55,"")</f>
        <v/>
      </c>
      <c r="D81" s="133" t="str">
        <f>IF($C$6=B81,$E$56,"")</f>
        <v/>
      </c>
      <c r="E81" s="133" t="str">
        <f>IF($C$6=B81,$E$57,"")</f>
        <v/>
      </c>
      <c r="F81" s="133" t="str">
        <f>IF($C$6=B81,$E$58,"")</f>
        <v/>
      </c>
      <c r="G81" s="133" t="str">
        <f>IF($C$6=B81,$E$59,"")</f>
        <v/>
      </c>
      <c r="H81" s="133" t="str">
        <f>IF($C$6=B81,$E$60,"")</f>
        <v/>
      </c>
      <c r="I81" s="133" t="str">
        <f>IF($C$6=B81,$E$61,"")</f>
        <v/>
      </c>
      <c r="J81" s="133" t="str">
        <f>IF($C$6=B81,$E$62,"")</f>
        <v/>
      </c>
      <c r="K81" s="133" t="str">
        <f t="shared" si="18"/>
        <v/>
      </c>
      <c r="L81" s="112"/>
      <c r="M81" s="112"/>
      <c r="N81" s="112"/>
      <c r="O81" s="132"/>
      <c r="P81" s="114"/>
      <c r="Q81" s="112"/>
      <c r="R81" s="112"/>
      <c r="S81" s="112"/>
      <c r="T81" s="112"/>
      <c r="U81" s="112"/>
      <c r="V81" s="112"/>
      <c r="W81" s="112"/>
      <c r="X81" s="112"/>
    </row>
    <row r="82" spans="2:24" s="3" customFormat="1" x14ac:dyDescent="0.2">
      <c r="B82" s="132">
        <v>10.01</v>
      </c>
      <c r="C82" s="133" t="str">
        <f t="shared" ref="C82:C87" si="19">IF($C$6=B82,$F$55,"")</f>
        <v/>
      </c>
      <c r="D82" s="133" t="str">
        <f t="shared" ref="D82:D87" si="20">IF($C$6=B82,$F$56,"")</f>
        <v/>
      </c>
      <c r="E82" s="133" t="str">
        <f t="shared" ref="E82:E87" si="21">IF($C$6=B82,$F$57,"")</f>
        <v/>
      </c>
      <c r="F82" s="133" t="str">
        <f t="shared" ref="F82:F87" si="22">IF($C$6=B82,$F$58,"")</f>
        <v/>
      </c>
      <c r="G82" s="133" t="str">
        <f t="shared" ref="G82:G87" si="23">IF($C$6=B82,$F$59,"")</f>
        <v/>
      </c>
      <c r="H82" s="133" t="str">
        <f t="shared" ref="H82:H87" si="24">IF($C$6=B82,$F$60,"")</f>
        <v/>
      </c>
      <c r="I82" s="133" t="str">
        <f t="shared" ref="I82:I87" si="25">IF($C$6=B82,$F$61,"")</f>
        <v/>
      </c>
      <c r="J82" s="133" t="str">
        <f t="shared" ref="J82:J87" si="26">IF($C$6=B82,$F$62,"")</f>
        <v/>
      </c>
      <c r="K82" s="133" t="str">
        <f t="shared" si="18"/>
        <v/>
      </c>
      <c r="L82" s="112"/>
      <c r="M82" s="112"/>
      <c r="N82" s="112"/>
      <c r="O82" s="132"/>
      <c r="P82" s="114"/>
      <c r="Q82" s="112"/>
      <c r="R82" s="112"/>
      <c r="S82" s="112"/>
      <c r="T82" s="112"/>
      <c r="U82" s="112"/>
      <c r="V82" s="112"/>
      <c r="W82" s="112"/>
      <c r="X82" s="112"/>
    </row>
    <row r="83" spans="2:24" s="3" customFormat="1" x14ac:dyDescent="0.2">
      <c r="B83" s="132">
        <v>11</v>
      </c>
      <c r="C83" s="133" t="str">
        <f t="shared" si="19"/>
        <v/>
      </c>
      <c r="D83" s="133" t="str">
        <f t="shared" si="20"/>
        <v/>
      </c>
      <c r="E83" s="133" t="str">
        <f t="shared" si="21"/>
        <v/>
      </c>
      <c r="F83" s="133" t="str">
        <f t="shared" si="22"/>
        <v/>
      </c>
      <c r="G83" s="133" t="str">
        <f t="shared" si="23"/>
        <v/>
      </c>
      <c r="H83" s="133" t="str">
        <f t="shared" si="24"/>
        <v/>
      </c>
      <c r="I83" s="133" t="str">
        <f t="shared" si="25"/>
        <v/>
      </c>
      <c r="J83" s="133" t="str">
        <f t="shared" si="26"/>
        <v/>
      </c>
      <c r="K83" s="133" t="str">
        <f t="shared" si="18"/>
        <v/>
      </c>
      <c r="L83" s="112"/>
      <c r="M83" s="112"/>
      <c r="N83" s="112"/>
      <c r="O83" s="112"/>
      <c r="P83" s="114"/>
      <c r="Q83" s="112"/>
      <c r="R83" s="112"/>
      <c r="S83" s="112"/>
      <c r="T83" s="112"/>
      <c r="U83" s="112"/>
      <c r="V83" s="112"/>
      <c r="W83" s="112"/>
      <c r="X83" s="112"/>
    </row>
    <row r="84" spans="2:24" s="3" customFormat="1" x14ac:dyDescent="0.2">
      <c r="B84" s="132">
        <v>12</v>
      </c>
      <c r="C84" s="133" t="str">
        <f t="shared" si="19"/>
        <v/>
      </c>
      <c r="D84" s="133" t="str">
        <f t="shared" si="20"/>
        <v/>
      </c>
      <c r="E84" s="133" t="str">
        <f t="shared" si="21"/>
        <v/>
      </c>
      <c r="F84" s="133" t="str">
        <f t="shared" si="22"/>
        <v/>
      </c>
      <c r="G84" s="133" t="str">
        <f t="shared" si="23"/>
        <v/>
      </c>
      <c r="H84" s="133" t="str">
        <f t="shared" si="24"/>
        <v/>
      </c>
      <c r="I84" s="133" t="str">
        <f t="shared" si="25"/>
        <v/>
      </c>
      <c r="J84" s="133" t="str">
        <f t="shared" si="26"/>
        <v/>
      </c>
      <c r="K84" s="133" t="str">
        <f t="shared" si="18"/>
        <v/>
      </c>
      <c r="L84" s="112"/>
      <c r="M84" s="112"/>
      <c r="N84" s="112"/>
      <c r="O84" s="112"/>
      <c r="P84" s="112"/>
      <c r="Q84" s="112"/>
      <c r="R84" s="112"/>
      <c r="S84" s="112"/>
      <c r="T84" s="112"/>
      <c r="U84" s="112"/>
      <c r="V84" s="112"/>
      <c r="W84" s="112"/>
      <c r="X84" s="112"/>
    </row>
    <row r="85" spans="2:24" s="3" customFormat="1" x14ac:dyDescent="0.2">
      <c r="B85" s="132">
        <v>13</v>
      </c>
      <c r="C85" s="133" t="str">
        <f t="shared" si="19"/>
        <v/>
      </c>
      <c r="D85" s="133" t="str">
        <f t="shared" si="20"/>
        <v/>
      </c>
      <c r="E85" s="133" t="str">
        <f t="shared" si="21"/>
        <v/>
      </c>
      <c r="F85" s="133" t="str">
        <f t="shared" si="22"/>
        <v/>
      </c>
      <c r="G85" s="133" t="str">
        <f t="shared" si="23"/>
        <v/>
      </c>
      <c r="H85" s="133" t="str">
        <f t="shared" si="24"/>
        <v/>
      </c>
      <c r="I85" s="133" t="str">
        <f t="shared" si="25"/>
        <v/>
      </c>
      <c r="J85" s="133" t="str">
        <f t="shared" si="26"/>
        <v/>
      </c>
      <c r="K85" s="133" t="str">
        <f t="shared" si="18"/>
        <v/>
      </c>
      <c r="L85" s="112"/>
      <c r="M85" s="112"/>
      <c r="N85" s="112"/>
      <c r="O85" s="112"/>
      <c r="P85" s="112"/>
      <c r="Q85" s="112"/>
      <c r="R85" s="112"/>
      <c r="S85" s="112"/>
      <c r="T85" s="112"/>
      <c r="U85" s="112"/>
      <c r="V85" s="112"/>
      <c r="W85" s="112"/>
      <c r="X85" s="112"/>
    </row>
    <row r="86" spans="2:24" s="3" customFormat="1" x14ac:dyDescent="0.2">
      <c r="B86" s="132">
        <v>14</v>
      </c>
      <c r="C86" s="133" t="str">
        <f t="shared" si="19"/>
        <v/>
      </c>
      <c r="D86" s="133" t="str">
        <f t="shared" si="20"/>
        <v/>
      </c>
      <c r="E86" s="133" t="str">
        <f t="shared" si="21"/>
        <v/>
      </c>
      <c r="F86" s="133" t="str">
        <f t="shared" si="22"/>
        <v/>
      </c>
      <c r="G86" s="133" t="str">
        <f t="shared" si="23"/>
        <v/>
      </c>
      <c r="H86" s="133" t="str">
        <f t="shared" si="24"/>
        <v/>
      </c>
      <c r="I86" s="133" t="str">
        <f t="shared" si="25"/>
        <v/>
      </c>
      <c r="J86" s="133" t="str">
        <f t="shared" si="26"/>
        <v/>
      </c>
      <c r="K86" s="133">
        <f>SUM(K71:K85)</f>
        <v>0</v>
      </c>
      <c r="L86" s="116"/>
      <c r="M86" s="112"/>
      <c r="N86" s="112"/>
      <c r="O86" s="112"/>
      <c r="P86" s="112"/>
      <c r="Q86" s="112"/>
      <c r="R86" s="112"/>
      <c r="S86" s="112"/>
      <c r="T86" s="112"/>
      <c r="U86" s="112"/>
      <c r="V86" s="112"/>
      <c r="W86" s="112"/>
      <c r="X86" s="112"/>
    </row>
    <row r="87" spans="2:24" s="3" customFormat="1" x14ac:dyDescent="0.2">
      <c r="B87" s="132">
        <v>15</v>
      </c>
      <c r="C87" s="133" t="str">
        <f t="shared" si="19"/>
        <v/>
      </c>
      <c r="D87" s="133" t="str">
        <f t="shared" si="20"/>
        <v/>
      </c>
      <c r="E87" s="133" t="str">
        <f t="shared" si="21"/>
        <v/>
      </c>
      <c r="F87" s="133" t="str">
        <f t="shared" si="22"/>
        <v/>
      </c>
      <c r="G87" s="133" t="str">
        <f t="shared" si="23"/>
        <v/>
      </c>
      <c r="H87" s="133" t="str">
        <f t="shared" si="24"/>
        <v/>
      </c>
      <c r="I87" s="133" t="str">
        <f t="shared" si="25"/>
        <v/>
      </c>
      <c r="J87" s="133" t="str">
        <f t="shared" si="26"/>
        <v/>
      </c>
      <c r="K87" s="133">
        <f>IF($F$6=K70,K86,"")</f>
        <v>0</v>
      </c>
      <c r="L87" s="133">
        <f>H64</f>
        <v>0</v>
      </c>
      <c r="M87" s="112"/>
      <c r="N87" s="112"/>
      <c r="O87" s="112"/>
      <c r="P87" s="112"/>
      <c r="Q87" s="112"/>
      <c r="R87" s="112"/>
      <c r="S87" s="112"/>
      <c r="T87" s="112"/>
      <c r="U87" s="112"/>
      <c r="V87" s="112"/>
      <c r="W87" s="112"/>
      <c r="X87" s="112"/>
    </row>
    <row r="88" spans="2:24" s="3" customFormat="1" x14ac:dyDescent="0.2">
      <c r="B88" s="114" t="s">
        <v>2298</v>
      </c>
      <c r="C88" s="133">
        <f>SUM(C73:C87)</f>
        <v>0</v>
      </c>
      <c r="D88" s="133">
        <f t="shared" ref="D88:I88" si="27">SUM(D73:D87)</f>
        <v>0</v>
      </c>
      <c r="E88" s="133">
        <f t="shared" si="27"/>
        <v>0</v>
      </c>
      <c r="F88" s="133">
        <f t="shared" si="27"/>
        <v>0</v>
      </c>
      <c r="G88" s="133">
        <f t="shared" si="27"/>
        <v>0</v>
      </c>
      <c r="H88" s="133">
        <f t="shared" si="27"/>
        <v>0</v>
      </c>
      <c r="I88" s="133">
        <f t="shared" si="27"/>
        <v>0</v>
      </c>
      <c r="J88" s="133">
        <f>SUM(J73:J87)</f>
        <v>0</v>
      </c>
      <c r="K88" s="112"/>
      <c r="L88" s="112"/>
      <c r="M88" s="112"/>
      <c r="N88" s="112"/>
      <c r="O88" s="112"/>
      <c r="P88" s="112"/>
      <c r="Q88" s="112"/>
      <c r="R88" s="112"/>
      <c r="S88" s="112"/>
      <c r="T88" s="112"/>
      <c r="U88" s="112"/>
      <c r="V88" s="112"/>
      <c r="W88" s="112"/>
      <c r="X88" s="112"/>
    </row>
    <row r="89" spans="2:24" s="3" customFormat="1" x14ac:dyDescent="0.2">
      <c r="B89" s="114" t="s">
        <v>1259</v>
      </c>
      <c r="C89" s="133" t="str">
        <f>IF($F$6=C72,C88,"")</f>
        <v/>
      </c>
      <c r="D89" s="133" t="str">
        <f t="shared" ref="D89:I89" si="28">IF($F$6=D72,D88,"")</f>
        <v/>
      </c>
      <c r="E89" s="133" t="str">
        <f t="shared" si="28"/>
        <v/>
      </c>
      <c r="F89" s="133" t="str">
        <f t="shared" si="28"/>
        <v/>
      </c>
      <c r="G89" s="133" t="str">
        <f t="shared" si="28"/>
        <v/>
      </c>
      <c r="H89" s="133" t="str">
        <f t="shared" si="28"/>
        <v/>
      </c>
      <c r="I89" s="133" t="str">
        <f t="shared" si="28"/>
        <v/>
      </c>
      <c r="J89" s="133" t="str">
        <f>IF($F$6=J72,J88,"")</f>
        <v/>
      </c>
      <c r="K89" s="112"/>
      <c r="L89" s="112"/>
      <c r="M89" s="112"/>
      <c r="N89" s="112"/>
      <c r="O89" s="112"/>
      <c r="P89" s="112"/>
      <c r="Q89" s="112"/>
      <c r="R89" s="112"/>
      <c r="S89" s="112"/>
      <c r="T89" s="112"/>
      <c r="U89" s="112"/>
      <c r="V89" s="112"/>
      <c r="W89" s="112"/>
      <c r="X89" s="112"/>
    </row>
    <row r="90" spans="2:24" s="3" customFormat="1" x14ac:dyDescent="0.2">
      <c r="B90" s="112"/>
      <c r="C90" s="112"/>
      <c r="D90" s="112"/>
      <c r="E90" s="115"/>
      <c r="F90" s="112"/>
      <c r="G90" s="112"/>
      <c r="H90" s="115"/>
      <c r="I90" s="115"/>
      <c r="J90" s="115"/>
      <c r="K90" s="112"/>
      <c r="L90" s="112"/>
      <c r="M90" s="112"/>
      <c r="N90" s="112"/>
      <c r="O90" s="112"/>
      <c r="P90" s="112"/>
      <c r="Q90" s="112"/>
      <c r="R90" s="112"/>
      <c r="S90" s="112"/>
      <c r="T90" s="112"/>
      <c r="U90" s="112"/>
      <c r="V90" s="112"/>
      <c r="W90" s="112"/>
      <c r="X90" s="112"/>
    </row>
    <row r="91" spans="2:24" s="3" customFormat="1" x14ac:dyDescent="0.2">
      <c r="B91" s="112"/>
      <c r="C91" s="112"/>
      <c r="D91" s="112"/>
      <c r="E91" s="112"/>
      <c r="F91" s="112"/>
      <c r="G91" s="112"/>
      <c r="H91" s="115"/>
      <c r="I91" s="115"/>
      <c r="J91" s="115"/>
      <c r="K91" s="112"/>
      <c r="L91" s="112"/>
      <c r="M91" s="112"/>
      <c r="N91" s="112"/>
      <c r="O91" s="112"/>
      <c r="P91" s="112"/>
      <c r="Q91" s="112"/>
      <c r="R91" s="112"/>
      <c r="S91" s="112"/>
      <c r="T91" s="112"/>
      <c r="U91" s="112"/>
      <c r="V91" s="112"/>
      <c r="W91" s="112"/>
      <c r="X91" s="112"/>
    </row>
    <row r="92" spans="2:24" s="3" customFormat="1" x14ac:dyDescent="0.2">
      <c r="B92" s="112"/>
      <c r="C92" s="112"/>
      <c r="D92" s="112"/>
      <c r="E92" s="112"/>
      <c r="F92" s="112"/>
      <c r="G92" s="112"/>
      <c r="H92" s="115"/>
      <c r="I92" s="115"/>
      <c r="J92" s="115"/>
      <c r="K92" s="112"/>
      <c r="L92" s="112"/>
      <c r="M92" s="112"/>
      <c r="N92" s="112"/>
      <c r="O92" s="112"/>
      <c r="P92" s="112"/>
      <c r="Q92" s="112"/>
      <c r="R92" s="112"/>
      <c r="S92" s="112"/>
      <c r="T92" s="112"/>
      <c r="U92" s="112"/>
      <c r="V92" s="112"/>
      <c r="W92" s="112"/>
      <c r="X92" s="112"/>
    </row>
    <row r="93" spans="2:24" s="3" customFormat="1" x14ac:dyDescent="0.2">
      <c r="B93" s="112"/>
      <c r="C93" s="112"/>
      <c r="D93" s="112"/>
      <c r="E93" s="115"/>
      <c r="F93" s="112"/>
      <c r="G93" s="112"/>
      <c r="H93" s="115"/>
      <c r="I93" s="115"/>
      <c r="J93" s="115"/>
      <c r="K93" s="112"/>
      <c r="L93" s="112"/>
      <c r="M93" s="112"/>
      <c r="N93" s="112"/>
      <c r="O93" s="112"/>
      <c r="P93" s="112"/>
      <c r="Q93" s="112"/>
      <c r="R93" s="112"/>
      <c r="S93" s="112"/>
      <c r="T93" s="112"/>
      <c r="U93" s="112"/>
      <c r="V93" s="112"/>
      <c r="W93" s="112"/>
      <c r="X93" s="112"/>
    </row>
    <row r="94" spans="2:24" s="3" customFormat="1" x14ac:dyDescent="0.2">
      <c r="B94" s="112"/>
      <c r="C94" s="112"/>
      <c r="D94" s="112"/>
      <c r="E94" s="115"/>
      <c r="F94" s="112"/>
      <c r="G94" s="112"/>
      <c r="H94" s="115"/>
      <c r="I94" s="115"/>
      <c r="J94" s="115"/>
      <c r="K94" s="112"/>
      <c r="L94" s="112"/>
      <c r="M94" s="112"/>
      <c r="N94" s="112"/>
      <c r="O94" s="112"/>
      <c r="P94" s="112"/>
      <c r="Q94" s="112"/>
      <c r="R94" s="112"/>
      <c r="S94" s="112"/>
      <c r="T94" s="112"/>
      <c r="U94" s="112"/>
      <c r="V94" s="112"/>
      <c r="W94" s="112"/>
      <c r="X94" s="112"/>
    </row>
    <row r="95" spans="2:24" s="3" customFormat="1" x14ac:dyDescent="0.2">
      <c r="B95" s="112"/>
      <c r="C95" s="112"/>
      <c r="D95" s="112"/>
      <c r="E95" s="115"/>
      <c r="F95" s="112"/>
      <c r="G95" s="112"/>
      <c r="H95" s="115"/>
      <c r="I95" s="115"/>
      <c r="J95" s="115"/>
      <c r="K95" s="112"/>
      <c r="L95" s="112"/>
      <c r="M95" s="112"/>
      <c r="N95" s="112"/>
      <c r="O95" s="112"/>
      <c r="P95" s="112"/>
      <c r="Q95" s="112"/>
      <c r="R95" s="112"/>
      <c r="S95" s="112"/>
      <c r="T95" s="112"/>
      <c r="U95" s="112"/>
      <c r="V95" s="112"/>
      <c r="W95" s="112"/>
      <c r="X95" s="112"/>
    </row>
    <row r="96" spans="2:24" s="3" customFormat="1" x14ac:dyDescent="0.2">
      <c r="B96" s="112"/>
      <c r="C96" s="112"/>
      <c r="D96" s="112"/>
      <c r="E96" s="115"/>
      <c r="F96" s="112"/>
      <c r="G96" s="112"/>
      <c r="H96" s="115"/>
      <c r="I96" s="115"/>
      <c r="J96" s="115"/>
      <c r="K96" s="112"/>
      <c r="L96" s="112"/>
      <c r="M96" s="112"/>
      <c r="N96" s="112"/>
      <c r="O96" s="112"/>
      <c r="P96" s="112"/>
      <c r="Q96" s="112"/>
      <c r="R96" s="112"/>
      <c r="S96" s="112"/>
      <c r="T96" s="112"/>
      <c r="U96" s="112"/>
      <c r="V96" s="112"/>
      <c r="W96" s="112"/>
      <c r="X96" s="112"/>
    </row>
    <row r="97" spans="2:13" x14ac:dyDescent="0.2">
      <c r="B97" s="112"/>
      <c r="C97" s="112"/>
      <c r="D97" s="112"/>
      <c r="E97" s="115"/>
      <c r="F97" s="112"/>
      <c r="G97" s="112"/>
      <c r="H97" s="115"/>
      <c r="I97" s="115"/>
      <c r="J97" s="115"/>
      <c r="K97" s="112"/>
      <c r="L97" s="112"/>
      <c r="M97" s="112"/>
    </row>
    <row r="98" spans="2:13" x14ac:dyDescent="0.2">
      <c r="B98" s="112"/>
      <c r="C98" s="112"/>
      <c r="D98" s="112"/>
      <c r="E98" s="115"/>
      <c r="F98" s="112"/>
      <c r="G98" s="112"/>
      <c r="H98" s="115"/>
      <c r="I98" s="115"/>
      <c r="J98" s="115"/>
      <c r="K98" s="87"/>
      <c r="L98" s="87"/>
      <c r="M98" s="87"/>
    </row>
    <row r="99" spans="2:13" x14ac:dyDescent="0.2">
      <c r="B99" s="112"/>
      <c r="C99" s="112"/>
      <c r="D99" s="112"/>
      <c r="E99" s="115"/>
      <c r="F99" s="112"/>
      <c r="G99" s="112"/>
      <c r="H99" s="115"/>
      <c r="I99" s="115"/>
      <c r="J99" s="115"/>
    </row>
    <row r="100" spans="2:13" x14ac:dyDescent="0.2">
      <c r="B100" s="87"/>
      <c r="C100" s="87"/>
      <c r="D100" s="87"/>
      <c r="E100" s="86"/>
      <c r="F100" s="87"/>
      <c r="G100" s="87"/>
      <c r="H100" s="86"/>
      <c r="I100" s="86"/>
      <c r="J100" s="86"/>
    </row>
  </sheetData>
  <sheetProtection algorithmName="SHA-512" hashValue="qmyJlVW84V87FgCl4HQ9L61HStYkgzR9ORkKWnYW5vH+YAdB/zNgeAp0rttiMzYYm04J3wK0JvL6iQl+xMtC+w==" saltValue="PDLHfiwCR2pnhHzOQcJxqA==" spinCount="100000" sheet="1" selectLockedCells="1"/>
  <mergeCells count="1">
    <mergeCell ref="C7:D7"/>
  </mergeCells>
  <phoneticPr fontId="0" type="noConversion"/>
  <printOptions horizontalCentered="1"/>
  <pageMargins left="0.59055118110236227" right="0.59055118110236227" top="0.59055118110236227" bottom="0.59055118110236227" header="0.51181102362204722" footer="0.51181102362204722"/>
  <pageSetup paperSize="9" scale="65" orientation="portrait" r:id="rId1"/>
  <headerFooter alignWithMargins="0">
    <oddFooter>&amp;R_x000D_&amp;1#&amp;"Arial"&amp;7&amp;K000000 Klassifizierung: Vertraulich/Confidential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7">
    <tabColor indexed="22"/>
  </sheetPr>
  <dimension ref="A1:AX259"/>
  <sheetViews>
    <sheetView topLeftCell="E1" zoomScaleNormal="100" zoomScaleSheetLayoutView="44" workbookViewId="0"/>
  </sheetViews>
  <sheetFormatPr baseColWidth="10" defaultColWidth="11.28515625" defaultRowHeight="12.75" x14ac:dyDescent="0.2"/>
  <cols>
    <col min="1" max="1" width="1.7109375" style="14" customWidth="1"/>
    <col min="2" max="2" width="11.28515625" style="82"/>
    <col min="3" max="3" width="7.7109375" style="82" customWidth="1"/>
    <col min="4" max="4" width="10.28515625" style="82" customWidth="1"/>
    <col min="5" max="5" width="6.85546875" style="82" bestFit="1" customWidth="1"/>
    <col min="6" max="6" width="10.85546875" style="82" customWidth="1"/>
    <col min="7" max="7" width="14.85546875" style="82" bestFit="1" customWidth="1"/>
    <col min="8" max="8" width="8.7109375" style="82" bestFit="1" customWidth="1"/>
    <col min="9" max="9" width="18" style="82" customWidth="1"/>
    <col min="10" max="10" width="2.7109375" style="82" customWidth="1"/>
    <col min="11" max="12" width="11.28515625" style="82"/>
    <col min="13" max="13" width="11.28515625" style="83"/>
    <col min="14" max="16" width="11.28515625" style="82"/>
    <col min="17" max="17" width="2.7109375" style="82" customWidth="1"/>
    <col min="18" max="18" width="1.7109375" style="14" customWidth="1"/>
    <col min="19" max="19" width="1.7109375" style="14" hidden="1" customWidth="1"/>
    <col min="20" max="27" width="0" style="82" hidden="1" customWidth="1"/>
    <col min="28" max="28" width="1.7109375" style="82" hidden="1" customWidth="1"/>
    <col min="29" max="31" width="1.7109375" style="82" customWidth="1"/>
    <col min="32" max="32" width="29.85546875" style="82" customWidth="1"/>
    <col min="33" max="40" width="11.28515625" style="82"/>
    <col min="41" max="41" width="1.7109375" style="82" customWidth="1"/>
    <col min="42" max="16384" width="11.28515625" style="82"/>
  </cols>
  <sheetData>
    <row r="1" spans="1:50" ht="14.25" customHeight="1" x14ac:dyDescent="0.2">
      <c r="A1" s="99"/>
    </row>
    <row r="2" spans="1:50" ht="14.25" customHeight="1" x14ac:dyDescent="0.2">
      <c r="AK2" s="100"/>
      <c r="AL2" s="100"/>
      <c r="AM2" s="79"/>
      <c r="AN2" s="79"/>
      <c r="AO2" s="79"/>
      <c r="AP2" s="79"/>
      <c r="AQ2" s="79"/>
      <c r="AR2" s="79"/>
      <c r="AS2" s="100"/>
      <c r="AT2" s="100"/>
      <c r="AU2" s="100"/>
      <c r="AV2" s="100"/>
      <c r="AW2" s="100"/>
    </row>
    <row r="3" spans="1:50" ht="15.75" x14ac:dyDescent="0.25">
      <c r="B3" s="261" t="s">
        <v>2436</v>
      </c>
      <c r="C3" s="262"/>
      <c r="D3" s="262"/>
      <c r="E3" s="262"/>
      <c r="F3" s="262"/>
      <c r="G3" s="262"/>
      <c r="H3" s="262"/>
      <c r="I3" s="262"/>
      <c r="J3" s="261" t="s">
        <v>2075</v>
      </c>
      <c r="K3" s="262"/>
      <c r="L3" s="262"/>
      <c r="M3" s="263"/>
      <c r="N3" s="262"/>
      <c r="O3" s="262"/>
      <c r="P3" s="262"/>
      <c r="Q3" s="262"/>
      <c r="R3" s="264"/>
      <c r="S3" s="85" t="s">
        <v>2076</v>
      </c>
      <c r="AD3" s="14"/>
      <c r="AK3" s="100"/>
      <c r="AL3" s="100"/>
      <c r="AM3" s="79"/>
      <c r="AN3" s="79"/>
      <c r="AO3" s="79"/>
      <c r="AP3" s="79"/>
      <c r="AQ3" s="79"/>
      <c r="AR3" s="79"/>
      <c r="AS3" s="100"/>
      <c r="AT3" s="100"/>
      <c r="AU3" s="100"/>
      <c r="AV3" s="100"/>
      <c r="AW3" s="100"/>
    </row>
    <row r="4" spans="1:50" ht="5.0999999999999996" customHeight="1" x14ac:dyDescent="0.2">
      <c r="B4" s="262"/>
      <c r="C4" s="262"/>
      <c r="D4" s="262"/>
      <c r="E4" s="262"/>
      <c r="F4" s="262"/>
      <c r="G4" s="262"/>
      <c r="H4" s="262"/>
      <c r="I4" s="262"/>
      <c r="J4" s="262"/>
      <c r="K4" s="262"/>
      <c r="L4" s="262"/>
      <c r="M4" s="263"/>
      <c r="N4" s="262"/>
      <c r="O4" s="262"/>
      <c r="P4" s="262"/>
      <c r="Q4" s="262"/>
      <c r="R4" s="264"/>
      <c r="AD4" s="14"/>
      <c r="AK4" s="100"/>
      <c r="AL4" s="100"/>
      <c r="AM4" s="79"/>
      <c r="AN4" s="79"/>
      <c r="AO4" s="79"/>
      <c r="AP4" s="79"/>
      <c r="AQ4" s="79"/>
      <c r="AR4" s="79"/>
      <c r="AS4" s="100"/>
      <c r="AT4" s="100"/>
      <c r="AU4" s="100"/>
      <c r="AV4" s="100"/>
      <c r="AW4" s="100"/>
    </row>
    <row r="5" spans="1:50" ht="12.75" customHeight="1" x14ac:dyDescent="0.25">
      <c r="B5" s="205" t="s">
        <v>2220</v>
      </c>
      <c r="C5" s="149"/>
      <c r="D5" s="149"/>
      <c r="E5" s="149"/>
      <c r="F5" s="149"/>
      <c r="G5" s="208"/>
      <c r="H5" s="208"/>
      <c r="I5" s="206"/>
      <c r="J5" s="401" t="s">
        <v>2726</v>
      </c>
      <c r="K5" s="240"/>
      <c r="L5" s="240"/>
      <c r="M5" s="329"/>
      <c r="N5" s="141"/>
      <c r="O5" s="141"/>
      <c r="P5" s="141"/>
      <c r="Q5" s="141"/>
      <c r="R5" s="264"/>
      <c r="S5" s="543" t="s">
        <v>2701</v>
      </c>
      <c r="T5" s="543"/>
      <c r="U5" s="543"/>
      <c r="V5" s="543"/>
      <c r="W5" s="543"/>
      <c r="X5" s="543"/>
      <c r="Y5" s="543"/>
      <c r="Z5" s="543"/>
      <c r="AA5" s="543"/>
      <c r="AB5" s="543"/>
      <c r="AC5" s="56"/>
      <c r="AD5" s="14"/>
      <c r="AF5" s="79" t="s">
        <v>2719</v>
      </c>
      <c r="AK5" s="100"/>
      <c r="AL5" s="293"/>
      <c r="AM5" s="293"/>
      <c r="AN5" s="293"/>
      <c r="AO5" s="293"/>
      <c r="AP5" s="293"/>
      <c r="AQ5" s="293"/>
      <c r="AR5" s="293"/>
      <c r="AS5" s="79"/>
      <c r="AT5" s="100"/>
      <c r="AU5" s="100"/>
      <c r="AV5" s="100"/>
      <c r="AW5" s="100"/>
      <c r="AX5" s="100"/>
    </row>
    <row r="6" spans="1:50" ht="12.75" customHeight="1" x14ac:dyDescent="0.2">
      <c r="B6" s="136"/>
      <c r="C6" s="538" t="s">
        <v>2162</v>
      </c>
      <c r="D6" s="539"/>
      <c r="E6" s="539" t="s">
        <v>827</v>
      </c>
      <c r="F6" s="539"/>
      <c r="G6" s="539" t="s">
        <v>824</v>
      </c>
      <c r="H6" s="539"/>
      <c r="I6" s="180"/>
      <c r="J6" s="265"/>
      <c r="K6" s="531" t="s">
        <v>2780</v>
      </c>
      <c r="L6" s="532"/>
      <c r="M6" s="532"/>
      <c r="N6" s="532"/>
      <c r="O6" s="532"/>
      <c r="P6" s="533"/>
      <c r="Q6" s="141"/>
      <c r="R6" s="264"/>
      <c r="S6" s="282"/>
      <c r="T6" s="84"/>
      <c r="U6" s="84"/>
      <c r="V6" s="84"/>
      <c r="W6" s="84"/>
      <c r="X6" s="84"/>
      <c r="Y6" s="84"/>
      <c r="Z6" s="84"/>
      <c r="AA6" s="84"/>
      <c r="AB6" s="84"/>
      <c r="AC6" s="56"/>
      <c r="AD6" s="14"/>
      <c r="AK6" s="100"/>
      <c r="AL6" s="293"/>
      <c r="AM6" s="113"/>
      <c r="AN6" s="113"/>
      <c r="AO6" s="113"/>
      <c r="AP6" s="113"/>
      <c r="AQ6" s="113"/>
      <c r="AR6" s="113"/>
      <c r="AS6" s="79"/>
      <c r="AT6" s="100"/>
      <c r="AU6" s="100"/>
      <c r="AV6" s="100"/>
      <c r="AW6" s="100"/>
      <c r="AX6" s="100"/>
    </row>
    <row r="7" spans="1:50" ht="13.7" customHeight="1" x14ac:dyDescent="0.2">
      <c r="B7" s="136"/>
      <c r="C7" s="191" t="s">
        <v>2052</v>
      </c>
      <c r="D7" s="191" t="s">
        <v>2052</v>
      </c>
      <c r="E7" s="195" t="s">
        <v>826</v>
      </c>
      <c r="F7" s="266"/>
      <c r="G7" s="192" t="s">
        <v>826</v>
      </c>
      <c r="H7" s="192"/>
      <c r="I7" s="267"/>
      <c r="J7" s="141"/>
      <c r="K7" s="141"/>
      <c r="L7" s="141"/>
      <c r="M7" s="268"/>
      <c r="N7" s="141"/>
      <c r="O7" s="141"/>
      <c r="P7" s="141"/>
      <c r="Q7" s="141"/>
      <c r="R7" s="264"/>
      <c r="S7" s="547" t="s">
        <v>2702</v>
      </c>
      <c r="T7" s="547"/>
      <c r="U7" s="547"/>
      <c r="V7" s="547"/>
      <c r="W7" s="547"/>
      <c r="X7" s="547"/>
      <c r="Y7" s="547"/>
      <c r="Z7" s="547"/>
      <c r="AA7" s="547"/>
      <c r="AB7" s="547"/>
      <c r="AC7" s="56"/>
      <c r="AD7" s="14"/>
      <c r="AF7" s="411" t="s">
        <v>2725</v>
      </c>
      <c r="AK7" s="100"/>
      <c r="AL7" s="293"/>
      <c r="AM7" s="113"/>
      <c r="AN7" s="113"/>
      <c r="AO7" s="113"/>
      <c r="AP7" s="113"/>
      <c r="AQ7" s="113"/>
      <c r="AR7" s="113"/>
      <c r="AS7" s="79"/>
      <c r="AT7" s="100"/>
      <c r="AU7" s="100"/>
      <c r="AV7" s="100"/>
      <c r="AW7" s="100"/>
      <c r="AX7" s="100"/>
    </row>
    <row r="8" spans="1:50" x14ac:dyDescent="0.2">
      <c r="B8" s="136"/>
      <c r="C8" s="269" t="str">
        <f>AN9</f>
        <v>0,01-10</v>
      </c>
      <c r="D8" s="190" t="s">
        <v>2165</v>
      </c>
      <c r="E8" s="190" t="s">
        <v>828</v>
      </c>
      <c r="F8" s="447" t="s">
        <v>2163</v>
      </c>
      <c r="G8" s="270">
        <f>IF(Eingabe!$H$63=EAGInvest,AQ9,0)</f>
        <v>0</v>
      </c>
      <c r="H8" s="192" t="s">
        <v>828</v>
      </c>
      <c r="I8" s="267"/>
      <c r="J8" s="141"/>
      <c r="K8" s="141"/>
      <c r="L8" s="141"/>
      <c r="M8" s="268"/>
      <c r="N8" s="141"/>
      <c r="O8" s="141"/>
      <c r="P8" s="141"/>
      <c r="Q8" s="141"/>
      <c r="R8" s="264"/>
      <c r="S8" s="548"/>
      <c r="T8" s="548"/>
      <c r="U8" s="548"/>
      <c r="V8" s="548"/>
      <c r="W8" s="548"/>
      <c r="X8" s="548"/>
      <c r="Y8" s="548"/>
      <c r="Z8" s="548"/>
      <c r="AA8" s="548"/>
      <c r="AB8" s="548"/>
      <c r="AC8" s="56"/>
      <c r="AD8" s="14"/>
      <c r="AF8" s="411" t="s">
        <v>2747</v>
      </c>
      <c r="AK8" s="100"/>
      <c r="AL8" s="293"/>
      <c r="AM8" s="113"/>
      <c r="AN8" s="113"/>
      <c r="AO8" s="113"/>
      <c r="AP8" s="113">
        <v>2024</v>
      </c>
      <c r="AQ8" s="113">
        <v>2025</v>
      </c>
      <c r="AR8" s="113"/>
      <c r="AS8" s="79"/>
      <c r="AT8" s="100"/>
      <c r="AU8" s="100"/>
      <c r="AV8" s="100"/>
      <c r="AW8" s="100"/>
      <c r="AX8" s="100"/>
    </row>
    <row r="9" spans="1:50" x14ac:dyDescent="0.2">
      <c r="B9" s="136"/>
      <c r="C9" s="269" t="str">
        <f t="shared" ref="C9:C10" si="0">AN10</f>
        <v>&gt;10-35</v>
      </c>
      <c r="D9" s="190" t="s">
        <v>2165</v>
      </c>
      <c r="E9" s="190" t="s">
        <v>828</v>
      </c>
      <c r="F9" s="447" t="s">
        <v>2163</v>
      </c>
      <c r="G9" s="270">
        <f>IF(Eingabe!$H$63=EAGInvest,AQ10,0)</f>
        <v>0</v>
      </c>
      <c r="H9" s="190" t="s">
        <v>828</v>
      </c>
      <c r="I9" s="267"/>
      <c r="J9" s="141"/>
      <c r="K9" s="141"/>
      <c r="L9" s="141"/>
      <c r="M9" s="268"/>
      <c r="N9" s="141"/>
      <c r="O9" s="141"/>
      <c r="P9" s="141"/>
      <c r="Q9" s="141"/>
      <c r="R9" s="264"/>
      <c r="S9" s="548"/>
      <c r="T9" s="548"/>
      <c r="U9" s="548"/>
      <c r="V9" s="548"/>
      <c r="W9" s="548"/>
      <c r="X9" s="548"/>
      <c r="Y9" s="548"/>
      <c r="Z9" s="548"/>
      <c r="AA9" s="548"/>
      <c r="AB9" s="548"/>
      <c r="AC9" s="56"/>
      <c r="AD9" s="14"/>
      <c r="AF9" s="411" t="s">
        <v>2748</v>
      </c>
      <c r="AH9" s="293"/>
      <c r="AI9" s="293"/>
      <c r="AJ9" s="293"/>
      <c r="AK9" s="100"/>
      <c r="AL9" s="293"/>
      <c r="AM9" s="113" t="s">
        <v>2713</v>
      </c>
      <c r="AN9" s="113" t="s">
        <v>2715</v>
      </c>
      <c r="AO9" s="113"/>
      <c r="AP9" s="113">
        <f>IF(Eingabe!$H$37&lt;=35,Eingabe!$H$87*0.2,0)</f>
        <v>300</v>
      </c>
      <c r="AQ9" s="113">
        <v>160</v>
      </c>
      <c r="AR9" s="113"/>
      <c r="AS9" s="79"/>
      <c r="AT9" s="100"/>
      <c r="AU9" s="100"/>
      <c r="AV9" s="100"/>
      <c r="AW9" s="100"/>
      <c r="AX9" s="100"/>
    </row>
    <row r="10" spans="1:50" x14ac:dyDescent="0.2">
      <c r="B10" s="136"/>
      <c r="C10" s="269" t="str">
        <f t="shared" si="0"/>
        <v>&gt;35-100</v>
      </c>
      <c r="D10" s="190" t="s">
        <v>2165</v>
      </c>
      <c r="E10" s="190" t="s">
        <v>828</v>
      </c>
      <c r="F10" s="447" t="s">
        <v>2163</v>
      </c>
      <c r="G10" s="270">
        <f>IF(Eingabe!$H$63=EAGInvest,AQ11,0)</f>
        <v>0</v>
      </c>
      <c r="H10" s="413" t="s">
        <v>828</v>
      </c>
      <c r="I10" s="271"/>
      <c r="J10" s="137"/>
      <c r="K10" s="141"/>
      <c r="L10" s="141"/>
      <c r="M10" s="141"/>
      <c r="N10" s="141"/>
      <c r="O10" s="141"/>
      <c r="P10" s="141"/>
      <c r="Q10" s="141"/>
      <c r="R10" s="264"/>
      <c r="S10" s="548"/>
      <c r="T10" s="548"/>
      <c r="U10" s="548"/>
      <c r="V10" s="548"/>
      <c r="W10" s="548"/>
      <c r="X10" s="548"/>
      <c r="Y10" s="548"/>
      <c r="Z10" s="548"/>
      <c r="AA10" s="548"/>
      <c r="AB10" s="548"/>
      <c r="AC10" s="56"/>
      <c r="AD10" s="14"/>
      <c r="AH10" s="293"/>
      <c r="AI10" s="293"/>
      <c r="AJ10" s="293"/>
      <c r="AK10" s="100"/>
      <c r="AL10" s="293"/>
      <c r="AM10" s="113" t="s">
        <v>1805</v>
      </c>
      <c r="AN10" s="113" t="s">
        <v>2723</v>
      </c>
      <c r="AO10" s="113"/>
      <c r="AP10" s="113">
        <f>IF(Eingabe!$H$37&lt;=35,Eingabe!$H$87*0.2,0)</f>
        <v>300</v>
      </c>
      <c r="AQ10" s="113">
        <v>150</v>
      </c>
      <c r="AR10" s="113"/>
      <c r="AS10" s="79"/>
      <c r="AT10" s="100"/>
      <c r="AU10" s="100"/>
      <c r="AV10" s="100"/>
      <c r="AW10" s="100"/>
      <c r="AX10" s="100"/>
    </row>
    <row r="11" spans="1:50" x14ac:dyDescent="0.2">
      <c r="B11" s="136"/>
      <c r="C11" s="190" t="str">
        <f>AN12</f>
        <v>&gt;100</v>
      </c>
      <c r="D11" s="190" t="s">
        <v>2165</v>
      </c>
      <c r="E11" s="283" t="s">
        <v>828</v>
      </c>
      <c r="F11" s="447" t="s">
        <v>2163</v>
      </c>
      <c r="G11" s="270">
        <f>IF(Eingabe!$H$63=EAGInvest,AQ12,0)</f>
        <v>0</v>
      </c>
      <c r="H11" s="414" t="s">
        <v>828</v>
      </c>
      <c r="I11" s="273"/>
      <c r="J11" s="141"/>
      <c r="K11" s="141"/>
      <c r="L11" s="141"/>
      <c r="M11" s="141"/>
      <c r="N11" s="141"/>
      <c r="O11" s="141"/>
      <c r="P11" s="141"/>
      <c r="Q11" s="141"/>
      <c r="R11" s="264"/>
      <c r="S11" s="548"/>
      <c r="T11" s="548"/>
      <c r="U11" s="548"/>
      <c r="V11" s="548"/>
      <c r="W11" s="548"/>
      <c r="X11" s="548"/>
      <c r="Y11" s="548"/>
      <c r="Z11" s="548"/>
      <c r="AA11" s="548"/>
      <c r="AB11" s="548"/>
      <c r="AC11" s="56"/>
      <c r="AD11" s="14"/>
      <c r="AH11" s="293"/>
      <c r="AI11" s="293"/>
      <c r="AJ11" s="293"/>
      <c r="AK11" s="100"/>
      <c r="AL11" s="293"/>
      <c r="AM11" s="113" t="s">
        <v>2714</v>
      </c>
      <c r="AN11" s="113" t="s">
        <v>2724</v>
      </c>
      <c r="AO11" s="113"/>
      <c r="AP11" s="113"/>
      <c r="AQ11" s="113">
        <v>140</v>
      </c>
      <c r="AR11" s="113"/>
      <c r="AS11" s="79"/>
      <c r="AT11" s="100"/>
      <c r="AU11" s="100"/>
      <c r="AV11" s="100"/>
      <c r="AW11" s="100"/>
      <c r="AX11" s="100"/>
    </row>
    <row r="12" spans="1:50" ht="12.75" customHeight="1" x14ac:dyDescent="0.2">
      <c r="B12" s="136"/>
      <c r="C12" s="274"/>
      <c r="D12" s="274"/>
      <c r="E12" s="274"/>
      <c r="F12" s="274"/>
      <c r="G12" s="275"/>
      <c r="H12" s="276"/>
      <c r="I12" s="273"/>
      <c r="J12" s="141"/>
      <c r="K12" s="141"/>
      <c r="L12" s="141"/>
      <c r="M12" s="165"/>
      <c r="N12" s="141"/>
      <c r="O12" s="141"/>
      <c r="P12" s="141"/>
      <c r="Q12" s="141"/>
      <c r="R12" s="264"/>
      <c r="S12" s="548"/>
      <c r="T12" s="548"/>
      <c r="U12" s="548"/>
      <c r="V12" s="548"/>
      <c r="W12" s="548"/>
      <c r="X12" s="548"/>
      <c r="Y12" s="548"/>
      <c r="Z12" s="548"/>
      <c r="AA12" s="548"/>
      <c r="AB12" s="548"/>
      <c r="AC12" s="56"/>
      <c r="AD12" s="14"/>
      <c r="AH12" s="293"/>
      <c r="AI12" s="293"/>
      <c r="AJ12" s="293"/>
      <c r="AK12" s="100"/>
      <c r="AL12" s="293"/>
      <c r="AM12" s="485"/>
      <c r="AN12" s="486" t="s">
        <v>2774</v>
      </c>
      <c r="AO12" s="486"/>
      <c r="AP12" s="486"/>
      <c r="AQ12" s="486"/>
      <c r="AR12" s="486"/>
      <c r="AS12" s="79"/>
      <c r="AT12" s="100"/>
      <c r="AU12" s="100"/>
      <c r="AV12" s="100"/>
      <c r="AW12" s="100"/>
      <c r="AX12" s="100"/>
    </row>
    <row r="13" spans="1:50" x14ac:dyDescent="0.2">
      <c r="B13" s="277" t="s">
        <v>1642</v>
      </c>
      <c r="C13" s="141"/>
      <c r="D13" s="136"/>
      <c r="E13" s="136"/>
      <c r="F13" s="141"/>
      <c r="G13" s="141"/>
      <c r="H13" s="141"/>
      <c r="I13" s="180"/>
      <c r="J13" s="141"/>
      <c r="K13" s="141"/>
      <c r="L13" s="141"/>
      <c r="M13" s="165"/>
      <c r="N13" s="141"/>
      <c r="O13" s="141"/>
      <c r="P13" s="141"/>
      <c r="Q13" s="141"/>
      <c r="R13" s="264"/>
      <c r="S13" s="548"/>
      <c r="T13" s="548"/>
      <c r="U13" s="548"/>
      <c r="V13" s="548"/>
      <c r="W13" s="548"/>
      <c r="X13" s="548"/>
      <c r="Y13" s="548"/>
      <c r="Z13" s="548"/>
      <c r="AA13" s="548"/>
      <c r="AB13" s="548"/>
      <c r="AC13" s="56"/>
      <c r="AD13" s="14"/>
      <c r="AF13" s="79" t="s">
        <v>2752</v>
      </c>
      <c r="AH13" s="293"/>
      <c r="AI13" s="293"/>
      <c r="AJ13" s="293"/>
      <c r="AK13" s="100"/>
      <c r="AL13" s="293"/>
      <c r="AM13" s="113"/>
      <c r="AN13" s="112"/>
      <c r="AO13" s="487"/>
      <c r="AP13" s="488"/>
      <c r="AQ13" s="488"/>
      <c r="AR13" s="488"/>
      <c r="AS13" s="454"/>
      <c r="AT13" s="454"/>
      <c r="AU13" s="102"/>
      <c r="AV13" s="100"/>
      <c r="AW13" s="100"/>
      <c r="AX13" s="100"/>
    </row>
    <row r="14" spans="1:50" x14ac:dyDescent="0.2">
      <c r="B14" s="141" t="str">
        <f>Eingabe!I211</f>
        <v>keine Landesförderung</v>
      </c>
      <c r="C14" s="141"/>
      <c r="D14" s="141"/>
      <c r="E14" s="141"/>
      <c r="F14" s="141"/>
      <c r="G14" s="141"/>
      <c r="H14" s="141"/>
      <c r="I14" s="180"/>
      <c r="J14" s="141"/>
      <c r="K14" s="141"/>
      <c r="L14" s="141"/>
      <c r="M14" s="165"/>
      <c r="N14" s="141"/>
      <c r="O14" s="141"/>
      <c r="P14" s="141"/>
      <c r="Q14" s="141"/>
      <c r="R14" s="264"/>
      <c r="S14" s="548"/>
      <c r="T14" s="548"/>
      <c r="U14" s="548"/>
      <c r="V14" s="548"/>
      <c r="W14" s="548"/>
      <c r="X14" s="548"/>
      <c r="Y14" s="548"/>
      <c r="Z14" s="548"/>
      <c r="AA14" s="548"/>
      <c r="AB14" s="548"/>
      <c r="AC14" s="56"/>
      <c r="AD14" s="14"/>
      <c r="AF14" s="453" t="s">
        <v>2753</v>
      </c>
      <c r="AG14" s="454"/>
      <c r="AH14" s="454"/>
      <c r="AI14" s="454"/>
      <c r="AJ14" s="454"/>
      <c r="AK14" s="454"/>
      <c r="AL14" s="293"/>
      <c r="AM14" s="293"/>
      <c r="AN14" s="293"/>
      <c r="AO14" s="293"/>
      <c r="AP14" s="293"/>
      <c r="AQ14" s="293"/>
      <c r="AR14" s="293"/>
      <c r="AS14" s="79"/>
      <c r="AT14" s="100"/>
      <c r="AU14" s="100"/>
      <c r="AV14" s="100"/>
      <c r="AW14" s="100"/>
      <c r="AX14" s="100"/>
    </row>
    <row r="15" spans="1:50" ht="15" customHeight="1" x14ac:dyDescent="0.2">
      <c r="B15" s="136"/>
      <c r="C15" s="274"/>
      <c r="D15" s="274"/>
      <c r="E15" s="274"/>
      <c r="F15" s="274"/>
      <c r="G15" s="275"/>
      <c r="H15" s="276"/>
      <c r="I15" s="273"/>
      <c r="J15" s="141"/>
      <c r="K15" s="141"/>
      <c r="L15" s="141"/>
      <c r="M15" s="165"/>
      <c r="N15" s="141"/>
      <c r="O15" s="141"/>
      <c r="P15" s="141"/>
      <c r="Q15" s="141"/>
      <c r="R15" s="264"/>
      <c r="S15" s="548"/>
      <c r="T15" s="548"/>
      <c r="U15" s="548"/>
      <c r="V15" s="548"/>
      <c r="W15" s="548"/>
      <c r="X15" s="548"/>
      <c r="Y15" s="548"/>
      <c r="Z15" s="548"/>
      <c r="AA15" s="548"/>
      <c r="AB15" s="548"/>
      <c r="AC15" s="56"/>
      <c r="AD15" s="14"/>
      <c r="AH15" s="293"/>
      <c r="AI15" s="293"/>
      <c r="AJ15" s="293"/>
      <c r="AK15" s="100"/>
      <c r="AL15" s="293"/>
      <c r="AM15" s="293"/>
      <c r="AN15" s="293"/>
      <c r="AO15" s="293"/>
      <c r="AP15" s="293"/>
      <c r="AQ15" s="293"/>
      <c r="AR15" s="293"/>
      <c r="AS15" s="79"/>
      <c r="AT15" s="100"/>
      <c r="AU15" s="100"/>
      <c r="AV15" s="100"/>
      <c r="AW15" s="100"/>
      <c r="AX15" s="100"/>
    </row>
    <row r="16" spans="1:50" ht="5.0999999999999996" customHeight="1" x14ac:dyDescent="0.2">
      <c r="B16" s="262"/>
      <c r="C16" s="262"/>
      <c r="D16" s="262"/>
      <c r="E16" s="262"/>
      <c r="F16" s="262"/>
      <c r="G16" s="262"/>
      <c r="H16" s="262"/>
      <c r="I16" s="262"/>
      <c r="J16" s="262"/>
      <c r="K16" s="278"/>
      <c r="L16" s="262"/>
      <c r="M16" s="263"/>
      <c r="N16" s="262"/>
      <c r="O16" s="262"/>
      <c r="P16" s="262"/>
      <c r="Q16" s="262"/>
      <c r="R16" s="264"/>
      <c r="S16" s="548"/>
      <c r="T16" s="548"/>
      <c r="U16" s="548"/>
      <c r="V16" s="548"/>
      <c r="W16" s="548"/>
      <c r="X16" s="548"/>
      <c r="Y16" s="548"/>
      <c r="Z16" s="548"/>
      <c r="AA16" s="548"/>
      <c r="AB16" s="548"/>
      <c r="AC16" s="56"/>
      <c r="AD16" s="14"/>
      <c r="AH16" s="293"/>
      <c r="AI16" s="293"/>
      <c r="AJ16" s="293"/>
      <c r="AK16" s="100"/>
      <c r="AL16" s="293"/>
      <c r="AM16" s="293"/>
      <c r="AN16" s="293"/>
      <c r="AO16" s="293"/>
      <c r="AP16" s="293"/>
      <c r="AQ16" s="293"/>
      <c r="AR16" s="293"/>
      <c r="AS16" s="79"/>
      <c r="AT16" s="100"/>
      <c r="AU16" s="100"/>
      <c r="AV16" s="100"/>
      <c r="AW16" s="100"/>
      <c r="AX16" s="100"/>
    </row>
    <row r="17" spans="2:50" x14ac:dyDescent="0.2">
      <c r="B17" s="205" t="s">
        <v>2166</v>
      </c>
      <c r="C17" s="149"/>
      <c r="D17" s="149"/>
      <c r="E17" s="149"/>
      <c r="F17" s="149"/>
      <c r="G17" s="208"/>
      <c r="H17" s="208"/>
      <c r="I17" s="206"/>
      <c r="J17" s="401" t="s">
        <v>2726</v>
      </c>
      <c r="K17" s="141"/>
      <c r="L17" s="141"/>
      <c r="M17" s="165"/>
      <c r="N17" s="141"/>
      <c r="O17" s="141"/>
      <c r="P17" s="141"/>
      <c r="Q17" s="141"/>
      <c r="R17" s="264"/>
      <c r="S17" s="548"/>
      <c r="T17" s="548"/>
      <c r="U17" s="548"/>
      <c r="V17" s="548"/>
      <c r="W17" s="548"/>
      <c r="X17" s="548"/>
      <c r="Y17" s="548"/>
      <c r="Z17" s="548"/>
      <c r="AA17" s="548"/>
      <c r="AB17" s="548"/>
      <c r="AC17" s="56"/>
      <c r="AD17" s="14"/>
      <c r="AE17" s="16"/>
      <c r="AF17" s="79" t="s">
        <v>2785</v>
      </c>
      <c r="AG17" s="56"/>
      <c r="AH17" s="135"/>
      <c r="AI17" s="135"/>
      <c r="AJ17" s="135"/>
      <c r="AK17" s="102"/>
      <c r="AL17" s="135"/>
      <c r="AM17" s="135"/>
      <c r="AN17" s="135"/>
      <c r="AO17" s="293"/>
      <c r="AP17" s="293"/>
      <c r="AQ17" s="293"/>
      <c r="AR17" s="293"/>
      <c r="AS17" s="79"/>
      <c r="AT17" s="100"/>
      <c r="AU17" s="100"/>
      <c r="AV17" s="100"/>
      <c r="AW17" s="100"/>
      <c r="AX17" s="100"/>
    </row>
    <row r="18" spans="2:50" x14ac:dyDescent="0.2">
      <c r="B18" s="136"/>
      <c r="C18" s="538" t="s">
        <v>2162</v>
      </c>
      <c r="D18" s="539"/>
      <c r="E18" s="539" t="s">
        <v>827</v>
      </c>
      <c r="F18" s="539"/>
      <c r="G18" s="539" t="s">
        <v>824</v>
      </c>
      <c r="H18" s="539"/>
      <c r="I18" s="180"/>
      <c r="J18" s="265"/>
      <c r="K18" s="141" t="s">
        <v>2700</v>
      </c>
      <c r="L18" s="141"/>
      <c r="M18" s="165"/>
      <c r="N18" s="141"/>
      <c r="O18" s="141"/>
      <c r="P18" s="141"/>
      <c r="Q18" s="141"/>
      <c r="R18" s="264"/>
      <c r="S18" s="548"/>
      <c r="T18" s="548"/>
      <c r="U18" s="548"/>
      <c r="V18" s="548"/>
      <c r="W18" s="548"/>
      <c r="X18" s="548"/>
      <c r="Y18" s="548"/>
      <c r="Z18" s="548"/>
      <c r="AA18" s="548"/>
      <c r="AB18" s="548"/>
      <c r="AC18" s="56"/>
      <c r="AD18" s="14"/>
      <c r="AE18" s="16"/>
      <c r="AF18" s="551" t="s">
        <v>2784</v>
      </c>
      <c r="AG18" s="56"/>
      <c r="AH18" s="135"/>
      <c r="AI18" s="135"/>
      <c r="AJ18" s="135"/>
      <c r="AK18" s="102"/>
      <c r="AL18" s="54"/>
      <c r="AM18" s="54"/>
      <c r="AN18" s="54"/>
      <c r="AO18" s="79"/>
      <c r="AP18" s="79"/>
      <c r="AQ18" s="79"/>
      <c r="AR18" s="79"/>
      <c r="AS18" s="79"/>
      <c r="AT18" s="100"/>
      <c r="AU18" s="100"/>
      <c r="AV18" s="100"/>
      <c r="AW18" s="100"/>
      <c r="AX18" s="100"/>
    </row>
    <row r="19" spans="2:50" ht="13.7" customHeight="1" x14ac:dyDescent="0.2">
      <c r="B19" s="136"/>
      <c r="C19" s="191" t="s">
        <v>2052</v>
      </c>
      <c r="D19" s="191" t="s">
        <v>2052</v>
      </c>
      <c r="E19" s="195" t="s">
        <v>826</v>
      </c>
      <c r="F19" s="266"/>
      <c r="G19" s="192" t="s">
        <v>826</v>
      </c>
      <c r="H19" s="192"/>
      <c r="I19" s="267"/>
      <c r="J19" s="141"/>
      <c r="K19" s="531" t="s">
        <v>2711</v>
      </c>
      <c r="L19" s="532"/>
      <c r="M19" s="532"/>
      <c r="N19" s="532"/>
      <c r="O19" s="532"/>
      <c r="P19" s="533"/>
      <c r="Q19" s="141"/>
      <c r="R19" s="264"/>
      <c r="S19" s="548"/>
      <c r="T19" s="548"/>
      <c r="U19" s="548"/>
      <c r="V19" s="548"/>
      <c r="W19" s="548"/>
      <c r="X19" s="548"/>
      <c r="Y19" s="548"/>
      <c r="Z19" s="548"/>
      <c r="AA19" s="548"/>
      <c r="AB19" s="548"/>
      <c r="AC19" s="56"/>
      <c r="AD19" s="14"/>
      <c r="AE19" s="16"/>
      <c r="AG19" s="56"/>
      <c r="AH19" s="135"/>
      <c r="AI19" s="135"/>
      <c r="AJ19" s="135"/>
      <c r="AK19" s="102"/>
      <c r="AL19" s="54"/>
      <c r="AM19" s="54"/>
      <c r="AN19" s="54"/>
      <c r="AO19" s="79"/>
      <c r="AP19" s="79"/>
      <c r="AQ19" s="79"/>
      <c r="AR19" s="79"/>
      <c r="AS19" s="79"/>
      <c r="AT19" s="100"/>
      <c r="AU19" s="100"/>
      <c r="AV19" s="100"/>
      <c r="AW19" s="100"/>
      <c r="AX19" s="100"/>
    </row>
    <row r="20" spans="2:50" x14ac:dyDescent="0.2">
      <c r="B20" s="136"/>
      <c r="C20" s="413" t="str">
        <f t="shared" ref="C20:C22" si="1">C8</f>
        <v>0,01-10</v>
      </c>
      <c r="D20" s="190" t="s">
        <v>2165</v>
      </c>
      <c r="E20" s="190">
        <v>280</v>
      </c>
      <c r="F20" s="446" t="s">
        <v>2163</v>
      </c>
      <c r="G20" s="270">
        <f>$G$8</f>
        <v>0</v>
      </c>
      <c r="H20" s="192" t="s">
        <v>828</v>
      </c>
      <c r="I20" s="267"/>
      <c r="J20" s="141"/>
      <c r="K20" s="141"/>
      <c r="L20" s="141"/>
      <c r="M20" s="268"/>
      <c r="N20" s="141"/>
      <c r="O20" s="141"/>
      <c r="P20" s="141"/>
      <c r="Q20" s="141"/>
      <c r="R20" s="264"/>
      <c r="S20" s="548"/>
      <c r="T20" s="548"/>
      <c r="U20" s="548"/>
      <c r="V20" s="548"/>
      <c r="W20" s="548"/>
      <c r="X20" s="548"/>
      <c r="Y20" s="548"/>
      <c r="Z20" s="548"/>
      <c r="AA20" s="548"/>
      <c r="AB20" s="548"/>
      <c r="AC20" s="56"/>
      <c r="AD20" s="14"/>
      <c r="AE20" s="16"/>
      <c r="AH20" s="135"/>
      <c r="AI20" s="135"/>
      <c r="AJ20" s="135"/>
      <c r="AK20" s="102"/>
      <c r="AL20" s="54"/>
      <c r="AM20" s="54"/>
      <c r="AN20" s="54"/>
      <c r="AO20" s="79"/>
      <c r="AP20" s="79"/>
      <c r="AQ20" s="79"/>
      <c r="AR20" s="79"/>
      <c r="AS20" s="79"/>
      <c r="AT20" s="100"/>
      <c r="AU20" s="100"/>
      <c r="AV20" s="100"/>
      <c r="AW20" s="100"/>
      <c r="AX20" s="100"/>
    </row>
    <row r="21" spans="2:50" x14ac:dyDescent="0.2">
      <c r="B21" s="136"/>
      <c r="C21" s="413" t="str">
        <f t="shared" si="1"/>
        <v>&gt;10-35</v>
      </c>
      <c r="D21" s="190" t="s">
        <v>2165</v>
      </c>
      <c r="E21" s="446" t="s">
        <v>828</v>
      </c>
      <c r="F21" s="447" t="s">
        <v>2163</v>
      </c>
      <c r="G21" s="270">
        <f>$G$9</f>
        <v>0</v>
      </c>
      <c r="H21" s="190" t="s">
        <v>828</v>
      </c>
      <c r="I21" s="267"/>
      <c r="J21" s="141"/>
      <c r="K21" s="141"/>
      <c r="L21" s="141"/>
      <c r="M21" s="268"/>
      <c r="N21" s="141"/>
      <c r="O21" s="141"/>
      <c r="P21" s="141"/>
      <c r="Q21" s="141"/>
      <c r="R21" s="264"/>
      <c r="S21" s="548"/>
      <c r="T21" s="548"/>
      <c r="U21" s="548"/>
      <c r="V21" s="548"/>
      <c r="W21" s="548"/>
      <c r="X21" s="548"/>
      <c r="Y21" s="548"/>
      <c r="Z21" s="548"/>
      <c r="AA21" s="548"/>
      <c r="AB21" s="548"/>
      <c r="AC21" s="56"/>
      <c r="AD21" s="14"/>
      <c r="AE21" s="16"/>
      <c r="AF21" s="552" t="s">
        <v>2786</v>
      </c>
      <c r="AH21" s="56"/>
      <c r="AI21" s="56"/>
      <c r="AJ21" s="56"/>
      <c r="AK21" s="102"/>
      <c r="AL21" s="54"/>
      <c r="AM21" s="54"/>
      <c r="AN21" s="54"/>
      <c r="AO21" s="79"/>
      <c r="AP21" s="79"/>
      <c r="AQ21" s="79"/>
      <c r="AR21" s="79"/>
      <c r="AS21" s="79"/>
      <c r="AT21" s="100"/>
      <c r="AU21" s="100"/>
      <c r="AV21" s="100"/>
      <c r="AW21" s="100"/>
      <c r="AX21" s="100"/>
    </row>
    <row r="22" spans="2:50" x14ac:dyDescent="0.2">
      <c r="B22" s="136"/>
      <c r="C22" s="413" t="str">
        <f t="shared" si="1"/>
        <v>&gt;35-100</v>
      </c>
      <c r="D22" s="190" t="s">
        <v>2165</v>
      </c>
      <c r="E22" s="446" t="s">
        <v>828</v>
      </c>
      <c r="F22" s="447" t="s">
        <v>2163</v>
      </c>
      <c r="G22" s="270">
        <f>$G$10</f>
        <v>0</v>
      </c>
      <c r="H22" s="413" t="s">
        <v>828</v>
      </c>
      <c r="I22" s="271"/>
      <c r="J22" s="137"/>
      <c r="K22" s="141" t="s">
        <v>2704</v>
      </c>
      <c r="L22" s="141"/>
      <c r="M22" s="141"/>
      <c r="N22" s="141"/>
      <c r="O22" s="141"/>
      <c r="P22" s="141"/>
      <c r="Q22" s="141"/>
      <c r="R22" s="264"/>
      <c r="S22" s="548"/>
      <c r="T22" s="548"/>
      <c r="U22" s="548"/>
      <c r="V22" s="548"/>
      <c r="W22" s="548"/>
      <c r="X22" s="548"/>
      <c r="Y22" s="548"/>
      <c r="Z22" s="548"/>
      <c r="AA22" s="548"/>
      <c r="AB22" s="548"/>
      <c r="AC22" s="56"/>
      <c r="AD22" s="14"/>
      <c r="AE22" s="16"/>
      <c r="AF22" s="96"/>
      <c r="AH22" s="56"/>
      <c r="AI22" s="56"/>
      <c r="AJ22" s="56"/>
      <c r="AK22" s="102"/>
      <c r="AL22" s="102"/>
      <c r="AM22" s="102"/>
      <c r="AN22" s="102"/>
      <c r="AO22" s="100"/>
      <c r="AP22" s="100"/>
      <c r="AQ22" s="100"/>
      <c r="AR22" s="100"/>
      <c r="AS22" s="100"/>
      <c r="AT22" s="100"/>
      <c r="AU22" s="100"/>
      <c r="AV22" s="100"/>
      <c r="AW22" s="100"/>
      <c r="AX22" s="100"/>
    </row>
    <row r="23" spans="2:50" x14ac:dyDescent="0.2">
      <c r="B23" s="136"/>
      <c r="C23" s="190" t="str">
        <f>C11</f>
        <v>&gt;100</v>
      </c>
      <c r="D23" s="190" t="s">
        <v>2165</v>
      </c>
      <c r="E23" s="446" t="s">
        <v>828</v>
      </c>
      <c r="F23" s="447" t="s">
        <v>2163</v>
      </c>
      <c r="G23" s="270">
        <f>$G$11</f>
        <v>0</v>
      </c>
      <c r="H23" s="272" t="str">
        <f>$H$11</f>
        <v>-</v>
      </c>
      <c r="I23" s="273"/>
      <c r="J23" s="141"/>
      <c r="K23" s="531" t="s">
        <v>2711</v>
      </c>
      <c r="L23" s="532"/>
      <c r="M23" s="532"/>
      <c r="N23" s="532"/>
      <c r="O23" s="532"/>
      <c r="P23" s="533"/>
      <c r="Q23" s="141"/>
      <c r="R23" s="264"/>
      <c r="S23" s="548"/>
      <c r="T23" s="548"/>
      <c r="U23" s="548"/>
      <c r="V23" s="548"/>
      <c r="W23" s="548"/>
      <c r="X23" s="548"/>
      <c r="Y23" s="548"/>
      <c r="Z23" s="548"/>
      <c r="AA23" s="548"/>
      <c r="AB23" s="548"/>
      <c r="AC23" s="56"/>
      <c r="AD23" s="14"/>
      <c r="AE23" s="16"/>
      <c r="AF23" s="54" t="s">
        <v>2790</v>
      </c>
      <c r="AH23" s="56"/>
      <c r="AI23" s="56"/>
      <c r="AJ23" s="56"/>
      <c r="AK23" s="102"/>
      <c r="AL23" s="102"/>
      <c r="AM23" s="102"/>
      <c r="AN23" s="102"/>
      <c r="AO23" s="100"/>
      <c r="AP23" s="100"/>
      <c r="AQ23" s="100"/>
      <c r="AR23" s="100"/>
      <c r="AS23" s="100"/>
      <c r="AT23" s="100"/>
      <c r="AU23" s="100"/>
      <c r="AV23" s="100"/>
      <c r="AW23" s="100"/>
      <c r="AX23" s="100"/>
    </row>
    <row r="24" spans="2:50" x14ac:dyDescent="0.2">
      <c r="B24" s="136"/>
      <c r="C24" s="274"/>
      <c r="D24" s="274"/>
      <c r="E24" s="274"/>
      <c r="F24" s="274"/>
      <c r="G24" s="275"/>
      <c r="H24" s="276"/>
      <c r="I24" s="273"/>
      <c r="J24" s="141"/>
      <c r="K24" s="141"/>
      <c r="L24" s="141"/>
      <c r="M24" s="165"/>
      <c r="N24" s="141"/>
      <c r="O24" s="141"/>
      <c r="P24" s="141"/>
      <c r="Q24" s="141"/>
      <c r="R24" s="264"/>
      <c r="S24" s="548"/>
      <c r="T24" s="548"/>
      <c r="U24" s="548"/>
      <c r="V24" s="548"/>
      <c r="W24" s="548"/>
      <c r="X24" s="548"/>
      <c r="Y24" s="548"/>
      <c r="Z24" s="548"/>
      <c r="AA24" s="548"/>
      <c r="AB24" s="548"/>
      <c r="AC24" s="56"/>
      <c r="AD24" s="14"/>
      <c r="AE24" s="16"/>
      <c r="AF24" s="96"/>
      <c r="AG24" s="56"/>
      <c r="AH24" s="56"/>
      <c r="AI24" s="56"/>
      <c r="AJ24" s="56"/>
      <c r="AK24" s="102"/>
      <c r="AL24" s="102"/>
      <c r="AM24" s="102"/>
      <c r="AN24" s="102"/>
      <c r="AO24" s="100"/>
      <c r="AP24" s="100"/>
      <c r="AQ24" s="100"/>
      <c r="AR24" s="100"/>
      <c r="AS24" s="100"/>
      <c r="AT24" s="100"/>
      <c r="AU24" s="100"/>
      <c r="AV24" s="100"/>
      <c r="AW24" s="100"/>
      <c r="AX24" s="100"/>
    </row>
    <row r="25" spans="2:50" x14ac:dyDescent="0.2">
      <c r="B25" s="277" t="s">
        <v>1642</v>
      </c>
      <c r="C25" s="141"/>
      <c r="D25" s="136"/>
      <c r="E25" s="136"/>
      <c r="F25" s="141"/>
      <c r="G25" s="141"/>
      <c r="H25" s="141"/>
      <c r="I25" s="180"/>
      <c r="J25" s="141"/>
      <c r="K25" s="141"/>
      <c r="L25" s="141"/>
      <c r="M25" s="141"/>
      <c r="N25" s="141"/>
      <c r="O25" s="141"/>
      <c r="P25" s="141"/>
      <c r="Q25" s="141"/>
      <c r="R25" s="264"/>
      <c r="S25" s="548"/>
      <c r="T25" s="548"/>
      <c r="U25" s="548"/>
      <c r="V25" s="548"/>
      <c r="W25" s="548"/>
      <c r="X25" s="548"/>
      <c r="Y25" s="548"/>
      <c r="Z25" s="548"/>
      <c r="AA25" s="548"/>
      <c r="AB25" s="548"/>
      <c r="AC25" s="56"/>
      <c r="AD25" s="14"/>
      <c r="AE25" s="16"/>
      <c r="AF25" s="54" t="s">
        <v>2787</v>
      </c>
      <c r="AG25" s="56"/>
      <c r="AH25" s="56"/>
      <c r="AI25" s="56"/>
      <c r="AJ25" s="56"/>
      <c r="AK25" s="56"/>
      <c r="AL25" s="102"/>
      <c r="AM25" s="102"/>
      <c r="AN25" s="102"/>
      <c r="AO25" s="100"/>
      <c r="AP25" s="100"/>
      <c r="AQ25" s="100"/>
      <c r="AR25" s="100"/>
      <c r="AS25" s="100"/>
      <c r="AT25" s="100"/>
      <c r="AU25" s="100"/>
      <c r="AV25" s="100"/>
      <c r="AW25" s="100"/>
      <c r="AX25" s="100"/>
    </row>
    <row r="26" spans="2:50" x14ac:dyDescent="0.2">
      <c r="B26" s="141" t="str">
        <f>Eingabe!I212</f>
        <v>Landesförderung bis max 50% Investkosten. Förderhöhe abgestuft von 380€/kWp unter 4 kWp bis 120 €/kWp bis 10kWp.</v>
      </c>
      <c r="C26" s="141"/>
      <c r="D26" s="141"/>
      <c r="E26" s="141"/>
      <c r="F26" s="141"/>
      <c r="G26" s="141"/>
      <c r="H26" s="141"/>
      <c r="I26" s="180"/>
      <c r="J26" s="141"/>
      <c r="K26" s="141"/>
      <c r="L26" s="141"/>
      <c r="M26" s="165"/>
      <c r="N26" s="141"/>
      <c r="O26" s="141"/>
      <c r="P26" s="141"/>
      <c r="Q26" s="141"/>
      <c r="R26" s="264"/>
      <c r="S26" s="548"/>
      <c r="T26" s="548"/>
      <c r="U26" s="548"/>
      <c r="V26" s="548"/>
      <c r="W26" s="548"/>
      <c r="X26" s="548"/>
      <c r="Y26" s="548"/>
      <c r="Z26" s="548"/>
      <c r="AA26" s="548"/>
      <c r="AB26" s="548"/>
      <c r="AC26" s="56"/>
      <c r="AD26" s="14"/>
      <c r="AE26" s="16"/>
      <c r="AF26" s="95"/>
      <c r="AG26" s="56"/>
      <c r="AH26" s="56"/>
      <c r="AI26" s="56"/>
      <c r="AJ26" s="56"/>
      <c r="AK26" s="56"/>
      <c r="AL26" s="102"/>
      <c r="AM26" s="102"/>
      <c r="AN26" s="102"/>
      <c r="AO26" s="100"/>
      <c r="AP26" s="100"/>
      <c r="AQ26" s="100"/>
      <c r="AR26" s="100"/>
      <c r="AS26" s="100"/>
      <c r="AT26" s="100"/>
      <c r="AU26" s="100"/>
      <c r="AV26" s="100"/>
      <c r="AW26" s="100"/>
      <c r="AX26" s="100"/>
    </row>
    <row r="27" spans="2:50" x14ac:dyDescent="0.2">
      <c r="B27" s="136"/>
      <c r="C27" s="274"/>
      <c r="D27" s="274"/>
      <c r="E27" s="274"/>
      <c r="F27" s="274"/>
      <c r="G27" s="275"/>
      <c r="H27" s="276"/>
      <c r="I27" s="273"/>
      <c r="J27" s="141"/>
      <c r="K27" s="141"/>
      <c r="L27" s="141"/>
      <c r="M27" s="165"/>
      <c r="N27" s="141"/>
      <c r="O27" s="141"/>
      <c r="P27" s="141"/>
      <c r="Q27" s="141"/>
      <c r="R27" s="264"/>
      <c r="S27" s="548"/>
      <c r="T27" s="548"/>
      <c r="U27" s="548"/>
      <c r="V27" s="548"/>
      <c r="W27" s="548"/>
      <c r="X27" s="548"/>
      <c r="Y27" s="548"/>
      <c r="Z27" s="548"/>
      <c r="AA27" s="548"/>
      <c r="AB27" s="548"/>
      <c r="AC27" s="56"/>
      <c r="AD27" s="14"/>
      <c r="AE27" s="16"/>
      <c r="AF27" s="553" t="s">
        <v>2788</v>
      </c>
      <c r="AG27" s="56"/>
      <c r="AH27" s="56"/>
      <c r="AI27" s="56"/>
      <c r="AJ27" s="56"/>
      <c r="AK27" s="56"/>
      <c r="AL27" s="102"/>
      <c r="AM27" s="102"/>
      <c r="AN27" s="102"/>
      <c r="AO27" s="100"/>
      <c r="AP27" s="100"/>
      <c r="AQ27" s="100"/>
      <c r="AR27" s="100"/>
      <c r="AS27" s="100"/>
      <c r="AT27" s="100"/>
      <c r="AU27" s="100"/>
      <c r="AV27" s="100"/>
      <c r="AW27" s="100"/>
      <c r="AX27" s="100"/>
    </row>
    <row r="28" spans="2:50" ht="5.0999999999999996" customHeight="1" x14ac:dyDescent="0.2">
      <c r="B28" s="262"/>
      <c r="C28" s="262"/>
      <c r="D28" s="262"/>
      <c r="E28" s="262"/>
      <c r="F28" s="262"/>
      <c r="G28" s="262"/>
      <c r="H28" s="262"/>
      <c r="I28" s="262"/>
      <c r="J28" s="262"/>
      <c r="K28" s="262"/>
      <c r="L28" s="262"/>
      <c r="M28" s="263"/>
      <c r="N28" s="262"/>
      <c r="O28" s="262"/>
      <c r="P28" s="262"/>
      <c r="Q28" s="262"/>
      <c r="R28" s="264"/>
      <c r="S28" s="548"/>
      <c r="T28" s="548"/>
      <c r="U28" s="548"/>
      <c r="V28" s="548"/>
      <c r="W28" s="548"/>
      <c r="X28" s="548"/>
      <c r="Y28" s="548"/>
      <c r="Z28" s="548"/>
      <c r="AA28" s="548"/>
      <c r="AB28" s="548"/>
      <c r="AC28" s="56"/>
      <c r="AD28" s="14"/>
      <c r="AE28" s="16"/>
      <c r="AG28" s="56"/>
      <c r="AH28" s="56"/>
      <c r="AI28" s="56"/>
      <c r="AJ28" s="56"/>
      <c r="AK28" s="56"/>
      <c r="AL28" s="102"/>
      <c r="AM28" s="102"/>
      <c r="AN28" s="102"/>
      <c r="AO28" s="100"/>
      <c r="AP28" s="100"/>
      <c r="AQ28" s="100"/>
      <c r="AR28" s="100"/>
      <c r="AS28" s="100"/>
      <c r="AT28" s="100"/>
      <c r="AU28" s="100"/>
      <c r="AV28" s="100"/>
      <c r="AW28" s="100"/>
      <c r="AX28" s="100"/>
    </row>
    <row r="29" spans="2:50" x14ac:dyDescent="0.2">
      <c r="B29" s="205" t="s">
        <v>2168</v>
      </c>
      <c r="C29" s="149"/>
      <c r="D29" s="149"/>
      <c r="E29" s="149"/>
      <c r="F29" s="149"/>
      <c r="G29" s="208"/>
      <c r="H29" s="208"/>
      <c r="I29" s="206"/>
      <c r="J29" s="401" t="s">
        <v>2726</v>
      </c>
      <c r="K29" s="141"/>
      <c r="L29" s="141"/>
      <c r="M29" s="165"/>
      <c r="N29" s="141"/>
      <c r="O29" s="141"/>
      <c r="P29" s="141"/>
      <c r="Q29" s="141"/>
      <c r="R29" s="264"/>
      <c r="S29" s="548"/>
      <c r="T29" s="548"/>
      <c r="U29" s="548"/>
      <c r="V29" s="548"/>
      <c r="W29" s="548"/>
      <c r="X29" s="548"/>
      <c r="Y29" s="548"/>
      <c r="Z29" s="548"/>
      <c r="AA29" s="548"/>
      <c r="AB29" s="548"/>
      <c r="AC29" s="56"/>
      <c r="AD29" s="14"/>
      <c r="AE29" s="16"/>
      <c r="AF29" s="553" t="s">
        <v>2789</v>
      </c>
      <c r="AG29" s="56"/>
      <c r="AH29" s="56"/>
      <c r="AI29" s="56"/>
      <c r="AJ29" s="56"/>
      <c r="AK29" s="56"/>
      <c r="AL29" s="102"/>
      <c r="AM29" s="102"/>
      <c r="AN29" s="102"/>
      <c r="AO29" s="100"/>
      <c r="AP29" s="100"/>
      <c r="AQ29" s="100"/>
      <c r="AR29" s="100"/>
      <c r="AS29" s="100"/>
      <c r="AT29" s="100"/>
      <c r="AU29" s="100"/>
      <c r="AV29" s="100"/>
      <c r="AW29" s="100"/>
      <c r="AX29" s="100"/>
    </row>
    <row r="30" spans="2:50" x14ac:dyDescent="0.2">
      <c r="B30" s="136"/>
      <c r="C30" s="538" t="s">
        <v>2162</v>
      </c>
      <c r="D30" s="539"/>
      <c r="E30" s="539" t="s">
        <v>827</v>
      </c>
      <c r="F30" s="539"/>
      <c r="G30" s="539" t="s">
        <v>824</v>
      </c>
      <c r="H30" s="539"/>
      <c r="I30" s="180"/>
      <c r="J30" s="265"/>
      <c r="K30" s="141" t="s">
        <v>2735</v>
      </c>
      <c r="L30" s="141"/>
      <c r="M30" s="165"/>
      <c r="N30" s="141"/>
      <c r="O30" s="141"/>
      <c r="P30" s="141"/>
      <c r="Q30" s="141"/>
      <c r="R30" s="264"/>
      <c r="S30" s="548"/>
      <c r="T30" s="548"/>
      <c r="U30" s="548"/>
      <c r="V30" s="548"/>
      <c r="W30" s="548"/>
      <c r="X30" s="548"/>
      <c r="Y30" s="548"/>
      <c r="Z30" s="548"/>
      <c r="AA30" s="548"/>
      <c r="AB30" s="548"/>
      <c r="AC30" s="56"/>
      <c r="AD30" s="14"/>
      <c r="AE30" s="16"/>
      <c r="AF30" s="56"/>
      <c r="AG30" s="56"/>
      <c r="AH30" s="56"/>
      <c r="AI30" s="56"/>
      <c r="AJ30" s="56"/>
      <c r="AK30" s="56"/>
      <c r="AL30" s="102"/>
      <c r="AM30" s="102"/>
      <c r="AN30" s="102"/>
      <c r="AO30" s="100"/>
      <c r="AP30" s="100"/>
      <c r="AQ30" s="100"/>
      <c r="AR30" s="100"/>
      <c r="AS30" s="100"/>
      <c r="AT30" s="100"/>
      <c r="AU30" s="100"/>
      <c r="AV30" s="100"/>
      <c r="AW30" s="100"/>
      <c r="AX30" s="100"/>
    </row>
    <row r="31" spans="2:50" x14ac:dyDescent="0.2">
      <c r="B31" s="136"/>
      <c r="C31" s="191" t="s">
        <v>2052</v>
      </c>
      <c r="D31" s="191" t="s">
        <v>2052</v>
      </c>
      <c r="E31" s="195" t="s">
        <v>826</v>
      </c>
      <c r="F31" s="266"/>
      <c r="G31" s="192" t="s">
        <v>826</v>
      </c>
      <c r="H31" s="192"/>
      <c r="I31" s="267"/>
      <c r="J31" s="141"/>
      <c r="K31" s="531" t="s">
        <v>2750</v>
      </c>
      <c r="L31" s="532"/>
      <c r="M31" s="532"/>
      <c r="N31" s="532"/>
      <c r="O31" s="532"/>
      <c r="P31" s="533"/>
      <c r="Q31" s="141"/>
      <c r="R31" s="264"/>
      <c r="S31" s="548"/>
      <c r="T31" s="548"/>
      <c r="U31" s="548"/>
      <c r="V31" s="548"/>
      <c r="W31" s="548"/>
      <c r="X31" s="548"/>
      <c r="Y31" s="548"/>
      <c r="Z31" s="548"/>
      <c r="AA31" s="548"/>
      <c r="AB31" s="548"/>
      <c r="AC31" s="56"/>
      <c r="AD31" s="14"/>
      <c r="AE31" s="16"/>
      <c r="AF31" s="56"/>
      <c r="AG31" s="56"/>
      <c r="AH31" s="56"/>
      <c r="AI31" s="56"/>
      <c r="AJ31" s="56"/>
      <c r="AK31" s="56"/>
      <c r="AL31" s="102"/>
      <c r="AM31" s="102"/>
      <c r="AN31" s="102"/>
      <c r="AO31" s="100"/>
      <c r="AP31" s="100"/>
      <c r="AQ31" s="100"/>
      <c r="AR31" s="100"/>
      <c r="AS31" s="100"/>
      <c r="AT31" s="100"/>
      <c r="AU31" s="100"/>
      <c r="AV31" s="100"/>
      <c r="AW31" s="100"/>
      <c r="AX31" s="100"/>
    </row>
    <row r="32" spans="2:50" x14ac:dyDescent="0.2">
      <c r="B32" s="136"/>
      <c r="C32" s="413" t="str">
        <f t="shared" ref="C32:C34" si="2">C8</f>
        <v>0,01-10</v>
      </c>
      <c r="D32" s="190" t="s">
        <v>2165</v>
      </c>
      <c r="E32" s="190" t="s">
        <v>828</v>
      </c>
      <c r="F32" s="447" t="s">
        <v>2163</v>
      </c>
      <c r="G32" s="270">
        <f>$G$8</f>
        <v>0</v>
      </c>
      <c r="H32" s="192" t="s">
        <v>828</v>
      </c>
      <c r="I32" s="267"/>
      <c r="J32" s="141"/>
      <c r="K32" s="141"/>
      <c r="L32" s="141"/>
      <c r="M32" s="268"/>
      <c r="N32" s="141"/>
      <c r="O32" s="141"/>
      <c r="P32" s="141"/>
      <c r="Q32" s="141"/>
      <c r="R32" s="264"/>
      <c r="S32" s="282"/>
      <c r="T32" s="141" t="s">
        <v>2699</v>
      </c>
      <c r="U32" s="88"/>
      <c r="V32" s="88"/>
      <c r="W32" s="88"/>
      <c r="X32" s="88"/>
      <c r="Y32" s="88"/>
      <c r="Z32" s="88"/>
      <c r="AA32" s="88"/>
      <c r="AB32" s="84"/>
      <c r="AC32" s="56"/>
      <c r="AD32" s="14"/>
      <c r="AE32" s="16"/>
      <c r="AF32" s="56"/>
      <c r="AG32" s="56"/>
      <c r="AH32" s="56"/>
      <c r="AI32" s="56"/>
      <c r="AJ32" s="56"/>
      <c r="AK32" s="56"/>
      <c r="AL32" s="102"/>
      <c r="AM32" s="102"/>
      <c r="AN32" s="102"/>
      <c r="AO32" s="100"/>
      <c r="AP32" s="100"/>
      <c r="AQ32" s="100"/>
      <c r="AR32" s="100"/>
      <c r="AS32" s="100"/>
      <c r="AT32" s="100"/>
      <c r="AU32" s="100"/>
      <c r="AV32" s="100"/>
      <c r="AW32" s="100"/>
      <c r="AX32" s="100"/>
    </row>
    <row r="33" spans="2:50" x14ac:dyDescent="0.2">
      <c r="B33" s="136"/>
      <c r="C33" s="413" t="str">
        <f t="shared" si="2"/>
        <v>&gt;10-35</v>
      </c>
      <c r="D33" s="190" t="s">
        <v>2165</v>
      </c>
      <c r="E33" s="190" t="s">
        <v>828</v>
      </c>
      <c r="F33" s="447" t="s">
        <v>2163</v>
      </c>
      <c r="G33" s="270">
        <f>$G$9</f>
        <v>0</v>
      </c>
      <c r="H33" s="190" t="s">
        <v>828</v>
      </c>
      <c r="I33" s="267"/>
      <c r="J33" s="141"/>
      <c r="K33" s="141"/>
      <c r="L33" s="141"/>
      <c r="M33" s="268"/>
      <c r="N33" s="141"/>
      <c r="O33" s="141"/>
      <c r="P33" s="141"/>
      <c r="Q33" s="141"/>
      <c r="R33" s="264"/>
      <c r="S33" s="282"/>
      <c r="T33" s="544"/>
      <c r="U33" s="545"/>
      <c r="V33" s="546"/>
      <c r="W33" s="88"/>
      <c r="X33" s="88"/>
      <c r="Y33" s="88"/>
      <c r="Z33" s="88"/>
      <c r="AA33" s="88"/>
      <c r="AB33" s="84"/>
      <c r="AC33" s="56"/>
      <c r="AD33" s="14"/>
      <c r="AE33" s="16"/>
      <c r="AF33" s="56"/>
      <c r="AG33" s="56"/>
      <c r="AH33" s="56"/>
      <c r="AI33" s="56"/>
      <c r="AJ33" s="56"/>
      <c r="AK33" s="56"/>
      <c r="AL33" s="102"/>
      <c r="AM33" s="102"/>
      <c r="AN33" s="102"/>
      <c r="AO33" s="100"/>
      <c r="AP33" s="100"/>
      <c r="AQ33" s="100"/>
      <c r="AR33" s="100"/>
      <c r="AS33" s="100"/>
      <c r="AT33" s="100"/>
      <c r="AU33" s="100"/>
      <c r="AV33" s="100"/>
      <c r="AW33" s="100"/>
      <c r="AX33" s="100"/>
    </row>
    <row r="34" spans="2:50" x14ac:dyDescent="0.2">
      <c r="B34" s="136"/>
      <c r="C34" s="413" t="str">
        <f t="shared" si="2"/>
        <v>&gt;35-100</v>
      </c>
      <c r="D34" s="190" t="s">
        <v>2165</v>
      </c>
      <c r="E34" s="190" t="s">
        <v>828</v>
      </c>
      <c r="F34" s="447" t="s">
        <v>2163</v>
      </c>
      <c r="G34" s="270">
        <f>$G$10</f>
        <v>0</v>
      </c>
      <c r="H34" s="413" t="s">
        <v>828</v>
      </c>
      <c r="I34" s="271"/>
      <c r="J34" s="137"/>
      <c r="K34" s="141"/>
      <c r="L34" s="141"/>
      <c r="M34" s="141"/>
      <c r="N34" s="141"/>
      <c r="O34" s="141"/>
      <c r="P34" s="141"/>
      <c r="Q34" s="141"/>
      <c r="R34" s="264"/>
      <c r="S34" s="282"/>
      <c r="T34" s="280"/>
      <c r="U34" s="280"/>
      <c r="V34" s="280"/>
      <c r="W34" s="280"/>
      <c r="X34" s="280"/>
      <c r="Y34" s="88"/>
      <c r="Z34" s="88"/>
      <c r="AA34" s="88"/>
      <c r="AB34" s="84"/>
      <c r="AC34" s="56"/>
      <c r="AD34" s="14"/>
      <c r="AE34" s="16"/>
      <c r="AF34" s="56"/>
      <c r="AG34" s="56"/>
      <c r="AH34" s="56"/>
      <c r="AI34" s="56"/>
      <c r="AJ34" s="56"/>
      <c r="AK34" s="56"/>
      <c r="AL34" s="102"/>
      <c r="AM34" s="102"/>
      <c r="AN34" s="102"/>
      <c r="AO34" s="100"/>
      <c r="AP34" s="102"/>
      <c r="AQ34" s="100"/>
      <c r="AR34" s="100"/>
      <c r="AS34" s="100"/>
      <c r="AT34" s="100"/>
      <c r="AU34" s="100"/>
      <c r="AV34" s="100"/>
      <c r="AW34" s="100"/>
      <c r="AX34" s="100"/>
    </row>
    <row r="35" spans="2:50" x14ac:dyDescent="0.2">
      <c r="B35" s="136"/>
      <c r="C35" s="190" t="str">
        <f>C11</f>
        <v>&gt;100</v>
      </c>
      <c r="D35" s="190" t="s">
        <v>2165</v>
      </c>
      <c r="E35" s="190" t="s">
        <v>828</v>
      </c>
      <c r="F35" s="447" t="s">
        <v>2163</v>
      </c>
      <c r="G35" s="270">
        <f>$G$11</f>
        <v>0</v>
      </c>
      <c r="H35" s="272" t="str">
        <f>$H$11</f>
        <v>-</v>
      </c>
      <c r="I35" s="273"/>
      <c r="J35" s="141"/>
      <c r="K35" s="141"/>
      <c r="L35" s="141"/>
      <c r="M35" s="165"/>
      <c r="N35" s="141"/>
      <c r="O35" s="141"/>
      <c r="P35" s="141"/>
      <c r="Q35" s="141"/>
      <c r="R35" s="264"/>
      <c r="S35" s="282"/>
      <c r="T35" s="141" t="s">
        <v>2636</v>
      </c>
      <c r="U35" s="280"/>
      <c r="V35" s="280"/>
      <c r="W35" s="280"/>
      <c r="X35" s="280"/>
      <c r="Y35" s="88"/>
      <c r="Z35" s="88"/>
      <c r="AA35" s="88"/>
      <c r="AB35" s="84"/>
      <c r="AC35" s="56"/>
      <c r="AD35" s="14"/>
      <c r="AE35" s="16"/>
      <c r="AF35" s="56"/>
      <c r="AG35" s="56"/>
      <c r="AH35" s="56"/>
      <c r="AI35" s="56"/>
      <c r="AJ35" s="56"/>
      <c r="AK35" s="56"/>
      <c r="AL35" s="102"/>
      <c r="AM35" s="102"/>
      <c r="AN35" s="102"/>
      <c r="AO35" s="100"/>
      <c r="AP35" s="102"/>
      <c r="AQ35" s="100"/>
      <c r="AR35" s="100"/>
      <c r="AS35" s="100"/>
      <c r="AT35" s="100"/>
      <c r="AU35" s="100"/>
      <c r="AV35" s="100"/>
      <c r="AW35" s="100"/>
      <c r="AX35" s="100"/>
    </row>
    <row r="36" spans="2:50" x14ac:dyDescent="0.2">
      <c r="B36" s="136"/>
      <c r="C36" s="274"/>
      <c r="D36" s="274"/>
      <c r="E36" s="274"/>
      <c r="F36" s="274"/>
      <c r="G36" s="275"/>
      <c r="H36" s="276"/>
      <c r="I36" s="273"/>
      <c r="J36" s="141"/>
      <c r="K36" s="141"/>
      <c r="L36" s="141"/>
      <c r="M36" s="165"/>
      <c r="N36" s="141"/>
      <c r="O36" s="141"/>
      <c r="P36" s="141"/>
      <c r="Q36" s="141"/>
      <c r="R36" s="264"/>
      <c r="S36" s="282"/>
      <c r="T36" s="544"/>
      <c r="U36" s="545"/>
      <c r="V36" s="546"/>
      <c r="W36" s="280"/>
      <c r="X36" s="280"/>
      <c r="Y36" s="88"/>
      <c r="Z36" s="88"/>
      <c r="AA36" s="88"/>
      <c r="AB36" s="84"/>
      <c r="AC36" s="56"/>
      <c r="AD36" s="14"/>
      <c r="AP36" s="56"/>
    </row>
    <row r="37" spans="2:50" x14ac:dyDescent="0.2">
      <c r="B37" s="277" t="s">
        <v>1642</v>
      </c>
      <c r="C37" s="141"/>
      <c r="D37" s="136"/>
      <c r="E37" s="136"/>
      <c r="F37" s="141"/>
      <c r="G37" s="141"/>
      <c r="H37" s="141"/>
      <c r="I37" s="180"/>
      <c r="J37" s="141"/>
      <c r="K37" s="141"/>
      <c r="L37" s="141"/>
      <c r="M37" s="165"/>
      <c r="N37" s="141"/>
      <c r="O37" s="141"/>
      <c r="P37" s="141"/>
      <c r="Q37" s="141"/>
      <c r="R37" s="264"/>
      <c r="S37" s="282"/>
      <c r="T37" s="280"/>
      <c r="U37" s="280"/>
      <c r="V37" s="280"/>
      <c r="W37" s="280"/>
      <c r="X37" s="280"/>
      <c r="Y37" s="88"/>
      <c r="Z37" s="88"/>
      <c r="AA37" s="88"/>
      <c r="AB37" s="84"/>
      <c r="AC37" s="56"/>
    </row>
    <row r="38" spans="2:50" x14ac:dyDescent="0.2">
      <c r="B38" s="141" t="str">
        <f>Eingabe!I213</f>
        <v>keine Landesförderung</v>
      </c>
      <c r="C38" s="141"/>
      <c r="D38" s="141"/>
      <c r="E38" s="141"/>
      <c r="F38" s="141"/>
      <c r="G38" s="141"/>
      <c r="H38" s="141"/>
      <c r="I38" s="180"/>
      <c r="J38" s="141"/>
      <c r="K38" s="141"/>
      <c r="L38" s="141"/>
      <c r="M38" s="165"/>
      <c r="N38" s="141"/>
      <c r="O38" s="141"/>
      <c r="P38" s="141"/>
      <c r="Q38" s="141"/>
      <c r="R38" s="264"/>
      <c r="S38" s="282"/>
      <c r="T38" s="141" t="s">
        <v>2635</v>
      </c>
      <c r="U38" s="141"/>
      <c r="V38" s="141"/>
      <c r="W38" s="141"/>
      <c r="X38" s="141"/>
      <c r="Y38" s="84"/>
      <c r="Z38" s="84"/>
      <c r="AA38" s="84"/>
      <c r="AB38" s="84"/>
      <c r="AC38" s="56"/>
    </row>
    <row r="39" spans="2:50" x14ac:dyDescent="0.2">
      <c r="B39" s="136"/>
      <c r="C39" s="274"/>
      <c r="D39" s="274"/>
      <c r="E39" s="274"/>
      <c r="F39" s="274"/>
      <c r="G39" s="275"/>
      <c r="H39" s="276"/>
      <c r="I39" s="273"/>
      <c r="J39" s="141"/>
      <c r="K39" s="141"/>
      <c r="L39" s="141"/>
      <c r="M39" s="165"/>
      <c r="N39" s="141"/>
      <c r="O39" s="141"/>
      <c r="P39" s="141"/>
      <c r="Q39" s="141"/>
      <c r="R39" s="264"/>
      <c r="S39" s="282"/>
      <c r="T39" s="540"/>
      <c r="U39" s="541"/>
      <c r="V39" s="541"/>
      <c r="W39" s="542"/>
      <c r="X39" s="280"/>
      <c r="Y39" s="88"/>
      <c r="Z39" s="88"/>
      <c r="AA39" s="88"/>
      <c r="AB39" s="84"/>
      <c r="AC39" s="56"/>
    </row>
    <row r="40" spans="2:50" ht="5.0999999999999996" customHeight="1" x14ac:dyDescent="0.2">
      <c r="B40" s="262"/>
      <c r="C40" s="262"/>
      <c r="D40" s="262"/>
      <c r="E40" s="262"/>
      <c r="F40" s="262"/>
      <c r="G40" s="262"/>
      <c r="H40" s="262"/>
      <c r="I40" s="262"/>
      <c r="J40" s="262"/>
      <c r="K40" s="262"/>
      <c r="L40" s="262"/>
      <c r="M40" s="279"/>
      <c r="N40" s="278"/>
      <c r="O40" s="126"/>
      <c r="P40" s="262"/>
      <c r="Q40" s="262"/>
      <c r="R40" s="264"/>
      <c r="S40" s="282"/>
      <c r="T40" s="281"/>
      <c r="U40" s="280"/>
      <c r="V40" s="280"/>
      <c r="W40" s="280"/>
      <c r="X40" s="280"/>
      <c r="Y40" s="88"/>
      <c r="Z40" s="88"/>
      <c r="AA40" s="88"/>
      <c r="AB40" s="84"/>
      <c r="AC40" s="56"/>
    </row>
    <row r="41" spans="2:50" ht="13.7" customHeight="1" x14ac:dyDescent="0.4">
      <c r="B41" s="205" t="s">
        <v>2169</v>
      </c>
      <c r="C41" s="149"/>
      <c r="D41" s="149"/>
      <c r="E41" s="149"/>
      <c r="F41" s="149"/>
      <c r="G41" s="208"/>
      <c r="H41" s="208"/>
      <c r="I41" s="206"/>
      <c r="J41" s="401" t="s">
        <v>2726</v>
      </c>
      <c r="K41" s="141"/>
      <c r="L41" s="141"/>
      <c r="M41" s="165"/>
      <c r="N41" s="141"/>
      <c r="O41" s="141"/>
      <c r="P41" s="141"/>
      <c r="Q41" s="141"/>
      <c r="R41" s="264"/>
      <c r="S41" s="282"/>
      <c r="T41" s="265"/>
      <c r="U41" s="265"/>
      <c r="V41" s="265"/>
      <c r="W41" s="265"/>
      <c r="X41" s="265"/>
      <c r="Y41" s="89"/>
      <c r="Z41" s="89"/>
      <c r="AA41" s="89"/>
      <c r="AB41" s="84"/>
      <c r="AC41" s="56"/>
      <c r="AG41" s="91"/>
    </row>
    <row r="42" spans="2:50" x14ac:dyDescent="0.2">
      <c r="B42" s="136"/>
      <c r="C42" s="538" t="s">
        <v>2162</v>
      </c>
      <c r="D42" s="539"/>
      <c r="E42" s="539" t="s">
        <v>827</v>
      </c>
      <c r="F42" s="539"/>
      <c r="G42" s="539" t="s">
        <v>824</v>
      </c>
      <c r="H42" s="539"/>
      <c r="I42" s="180"/>
      <c r="J42" s="265"/>
      <c r="K42" s="141" t="s">
        <v>2735</v>
      </c>
      <c r="L42" s="141"/>
      <c r="M42" s="165"/>
      <c r="N42" s="141"/>
      <c r="O42" s="141"/>
      <c r="P42" s="141"/>
      <c r="Q42" s="141"/>
      <c r="R42" s="264"/>
      <c r="S42" s="16"/>
      <c r="T42" s="58"/>
      <c r="U42" s="58"/>
      <c r="V42" s="58"/>
      <c r="W42" s="58"/>
      <c r="X42" s="58"/>
      <c r="Y42" s="58"/>
      <c r="Z42" s="58"/>
      <c r="AA42" s="58"/>
      <c r="AB42" s="56"/>
      <c r="AC42" s="56"/>
      <c r="AG42" s="90"/>
    </row>
    <row r="43" spans="2:50" x14ac:dyDescent="0.2">
      <c r="B43" s="136"/>
      <c r="C43" s="191" t="s">
        <v>2052</v>
      </c>
      <c r="D43" s="191" t="s">
        <v>2052</v>
      </c>
      <c r="E43" s="195" t="s">
        <v>826</v>
      </c>
      <c r="F43" s="266"/>
      <c r="G43" s="192" t="s">
        <v>826</v>
      </c>
      <c r="H43" s="192"/>
      <c r="I43" s="267"/>
      <c r="J43" s="141"/>
      <c r="K43" s="531" t="s">
        <v>2734</v>
      </c>
      <c r="L43" s="532"/>
      <c r="M43" s="532"/>
      <c r="N43" s="532"/>
      <c r="O43" s="532"/>
      <c r="P43" s="533"/>
      <c r="Q43" s="141"/>
      <c r="R43" s="264"/>
      <c r="AC43" s="56"/>
      <c r="AG43" s="92"/>
    </row>
    <row r="44" spans="2:50" x14ac:dyDescent="0.2">
      <c r="B44" s="136"/>
      <c r="C44" s="413" t="str">
        <f t="shared" ref="C44:C46" si="3">C20</f>
        <v>0,01-10</v>
      </c>
      <c r="D44" s="190" t="s">
        <v>2165</v>
      </c>
      <c r="E44" s="447" t="s">
        <v>828</v>
      </c>
      <c r="F44" s="446" t="s">
        <v>2163</v>
      </c>
      <c r="G44" s="270">
        <f>$G$8</f>
        <v>0</v>
      </c>
      <c r="H44" s="192" t="s">
        <v>828</v>
      </c>
      <c r="I44" s="267"/>
      <c r="J44" s="141"/>
      <c r="K44" s="141"/>
      <c r="L44" s="141"/>
      <c r="M44" s="268"/>
      <c r="N44" s="141"/>
      <c r="O44" s="141"/>
      <c r="P44" s="141"/>
      <c r="Q44" s="141"/>
      <c r="R44" s="264"/>
      <c r="AC44" s="56"/>
      <c r="AG44" s="90"/>
    </row>
    <row r="45" spans="2:50" x14ac:dyDescent="0.2">
      <c r="B45" s="136"/>
      <c r="C45" s="413" t="str">
        <f t="shared" si="3"/>
        <v>&gt;10-35</v>
      </c>
      <c r="D45" s="190" t="s">
        <v>2165</v>
      </c>
      <c r="E45" s="447" t="s">
        <v>828</v>
      </c>
      <c r="F45" s="446" t="s">
        <v>2163</v>
      </c>
      <c r="G45" s="270">
        <f>$G$9</f>
        <v>0</v>
      </c>
      <c r="H45" s="190" t="s">
        <v>828</v>
      </c>
      <c r="I45" s="267"/>
      <c r="J45" s="141"/>
      <c r="K45" s="141"/>
      <c r="L45" s="141"/>
      <c r="M45" s="268"/>
      <c r="N45" s="141"/>
      <c r="O45" s="141"/>
      <c r="P45" s="141"/>
      <c r="Q45" s="141"/>
      <c r="R45" s="264"/>
      <c r="AC45" s="56"/>
      <c r="AG45" s="92"/>
    </row>
    <row r="46" spans="2:50" x14ac:dyDescent="0.2">
      <c r="B46" s="136"/>
      <c r="C46" s="413" t="str">
        <f t="shared" si="3"/>
        <v>&gt;35-100</v>
      </c>
      <c r="D46" s="190" t="s">
        <v>2165</v>
      </c>
      <c r="E46" s="447" t="s">
        <v>828</v>
      </c>
      <c r="F46" s="446" t="s">
        <v>2163</v>
      </c>
      <c r="G46" s="270">
        <f>$G$10</f>
        <v>0</v>
      </c>
      <c r="H46" s="413" t="s">
        <v>828</v>
      </c>
      <c r="I46" s="271"/>
      <c r="J46" s="137"/>
      <c r="K46" s="141"/>
      <c r="L46" s="141"/>
      <c r="M46" s="141"/>
      <c r="N46" s="141"/>
      <c r="O46" s="141"/>
      <c r="P46" s="141"/>
      <c r="Q46" s="141"/>
      <c r="R46" s="264"/>
      <c r="AC46" s="56"/>
      <c r="AG46" s="90"/>
    </row>
    <row r="47" spans="2:50" x14ac:dyDescent="0.2">
      <c r="B47" s="136"/>
      <c r="C47" s="413" t="str">
        <f>C23</f>
        <v>&gt;100</v>
      </c>
      <c r="D47" s="190" t="s">
        <v>2165</v>
      </c>
      <c r="E47" s="447" t="s">
        <v>828</v>
      </c>
      <c r="F47" s="446" t="s">
        <v>2163</v>
      </c>
      <c r="G47" s="270">
        <f>$G$11</f>
        <v>0</v>
      </c>
      <c r="H47" s="272" t="str">
        <f>$H$11</f>
        <v>-</v>
      </c>
      <c r="I47" s="273"/>
      <c r="J47" s="141"/>
      <c r="K47" s="141"/>
      <c r="L47" s="141"/>
      <c r="M47" s="165"/>
      <c r="N47" s="141"/>
      <c r="O47" s="141"/>
      <c r="P47" s="141"/>
      <c r="Q47" s="141"/>
      <c r="R47" s="264"/>
      <c r="AC47" s="56"/>
      <c r="AG47" s="90"/>
    </row>
    <row r="48" spans="2:50" x14ac:dyDescent="0.2">
      <c r="B48" s="136"/>
      <c r="C48" s="274"/>
      <c r="D48" s="274"/>
      <c r="E48" s="274"/>
      <c r="F48" s="274"/>
      <c r="G48" s="275"/>
      <c r="H48" s="276"/>
      <c r="I48" s="273"/>
      <c r="J48" s="141"/>
      <c r="K48" s="240"/>
      <c r="L48" s="141"/>
      <c r="M48" s="165"/>
      <c r="N48" s="141"/>
      <c r="O48" s="141"/>
      <c r="P48" s="141"/>
      <c r="Q48" s="141"/>
      <c r="R48" s="264"/>
      <c r="AC48" s="56"/>
      <c r="AG48" s="92"/>
    </row>
    <row r="49" spans="2:33" x14ac:dyDescent="0.2">
      <c r="B49" s="277" t="s">
        <v>1642</v>
      </c>
      <c r="C49" s="141"/>
      <c r="D49" s="136"/>
      <c r="E49" s="136"/>
      <c r="F49" s="141"/>
      <c r="G49" s="141"/>
      <c r="H49" s="141"/>
      <c r="I49" s="180"/>
      <c r="J49" s="141"/>
      <c r="K49" s="141"/>
      <c r="L49" s="141"/>
      <c r="M49" s="141"/>
      <c r="N49" s="141"/>
      <c r="O49" s="141"/>
      <c r="P49" s="141"/>
      <c r="Q49" s="141"/>
      <c r="R49" s="264"/>
      <c r="AC49" s="56"/>
      <c r="AG49" s="90"/>
    </row>
    <row r="50" spans="2:33" x14ac:dyDescent="0.2">
      <c r="B50" s="141" t="str">
        <f>Eingabe!I214</f>
        <v>keine Landesförderung</v>
      </c>
      <c r="C50" s="141"/>
      <c r="D50" s="141"/>
      <c r="E50" s="141"/>
      <c r="F50" s="141"/>
      <c r="G50" s="141"/>
      <c r="H50" s="141"/>
      <c r="I50" s="180"/>
      <c r="J50" s="141"/>
      <c r="K50" s="141"/>
      <c r="L50" s="141"/>
      <c r="M50" s="165"/>
      <c r="N50" s="141"/>
      <c r="O50" s="141"/>
      <c r="P50" s="141"/>
      <c r="Q50" s="141"/>
      <c r="R50" s="264"/>
      <c r="AC50" s="56"/>
      <c r="AG50" s="90"/>
    </row>
    <row r="51" spans="2:33" x14ac:dyDescent="0.2">
      <c r="B51" s="136"/>
      <c r="C51" s="274"/>
      <c r="D51" s="274"/>
      <c r="E51" s="274"/>
      <c r="F51" s="274"/>
      <c r="G51" s="275"/>
      <c r="H51" s="276"/>
      <c r="I51" s="273"/>
      <c r="J51" s="141"/>
      <c r="K51" s="141"/>
      <c r="L51" s="141"/>
      <c r="M51" s="165"/>
      <c r="N51" s="141"/>
      <c r="O51" s="141"/>
      <c r="P51" s="141"/>
      <c r="Q51" s="141"/>
      <c r="R51" s="264"/>
      <c r="AC51" s="56"/>
      <c r="AG51" s="92"/>
    </row>
    <row r="52" spans="2:33" ht="5.0999999999999996" customHeight="1" x14ac:dyDescent="0.2">
      <c r="B52" s="126"/>
      <c r="C52" s="126"/>
      <c r="D52" s="126"/>
      <c r="E52" s="126"/>
      <c r="F52" s="126"/>
      <c r="G52" s="126"/>
      <c r="H52" s="126"/>
      <c r="I52" s="126"/>
      <c r="J52" s="262"/>
      <c r="K52" s="262"/>
      <c r="L52" s="262"/>
      <c r="M52" s="263"/>
      <c r="N52" s="262"/>
      <c r="O52" s="126"/>
      <c r="P52" s="126"/>
      <c r="Q52" s="126"/>
      <c r="R52" s="264"/>
      <c r="AC52" s="56"/>
      <c r="AG52" s="90"/>
    </row>
    <row r="53" spans="2:33" x14ac:dyDescent="0.2">
      <c r="B53" s="205" t="s">
        <v>33</v>
      </c>
      <c r="C53" s="149"/>
      <c r="D53" s="149"/>
      <c r="E53" s="149"/>
      <c r="F53" s="149"/>
      <c r="G53" s="208"/>
      <c r="H53" s="208"/>
      <c r="I53" s="206"/>
      <c r="J53" s="401" t="s">
        <v>2726</v>
      </c>
      <c r="K53" s="141"/>
      <c r="L53" s="141"/>
      <c r="M53" s="165"/>
      <c r="N53" s="141"/>
      <c r="O53" s="141"/>
      <c r="P53" s="141"/>
      <c r="Q53" s="141"/>
      <c r="R53" s="264"/>
      <c r="AC53" s="56"/>
      <c r="AG53" s="90"/>
    </row>
    <row r="54" spans="2:33" x14ac:dyDescent="0.2">
      <c r="B54" s="136"/>
      <c r="C54" s="538" t="s">
        <v>2162</v>
      </c>
      <c r="D54" s="539"/>
      <c r="E54" s="539" t="s">
        <v>827</v>
      </c>
      <c r="F54" s="539"/>
      <c r="G54" s="539" t="s">
        <v>824</v>
      </c>
      <c r="H54" s="539"/>
      <c r="I54" s="180"/>
      <c r="J54" s="141"/>
      <c r="K54" s="141" t="s">
        <v>2751</v>
      </c>
      <c r="L54" s="141"/>
      <c r="M54" s="268"/>
      <c r="N54" s="141"/>
      <c r="O54" s="141"/>
      <c r="P54" s="141"/>
      <c r="Q54" s="141"/>
      <c r="R54" s="264"/>
      <c r="AC54" s="56"/>
      <c r="AG54" s="90"/>
    </row>
    <row r="55" spans="2:33" x14ac:dyDescent="0.2">
      <c r="B55" s="136"/>
      <c r="C55" s="191" t="s">
        <v>2052</v>
      </c>
      <c r="D55" s="191" t="s">
        <v>2052</v>
      </c>
      <c r="E55" s="195" t="s">
        <v>826</v>
      </c>
      <c r="F55" s="266"/>
      <c r="G55" s="192" t="s">
        <v>826</v>
      </c>
      <c r="H55" s="192"/>
      <c r="I55" s="267"/>
      <c r="J55" s="137"/>
      <c r="K55" s="531" t="s">
        <v>2728</v>
      </c>
      <c r="L55" s="532"/>
      <c r="M55" s="532"/>
      <c r="N55" s="532"/>
      <c r="O55" s="532"/>
      <c r="P55" s="533"/>
      <c r="Q55" s="141"/>
      <c r="R55" s="264"/>
      <c r="AG55" s="90"/>
    </row>
    <row r="56" spans="2:33" x14ac:dyDescent="0.2">
      <c r="B56" s="136"/>
      <c r="C56" s="413" t="str">
        <f t="shared" ref="C56:C58" si="4">C32</f>
        <v>0,01-10</v>
      </c>
      <c r="D56" s="190" t="s">
        <v>2165</v>
      </c>
      <c r="E56" s="302" t="s">
        <v>828</v>
      </c>
      <c r="F56" s="447" t="s">
        <v>2163</v>
      </c>
      <c r="G56" s="270">
        <f>$G$8</f>
        <v>0</v>
      </c>
      <c r="H56" s="192" t="s">
        <v>828</v>
      </c>
      <c r="I56" s="267"/>
      <c r="J56" s="398"/>
      <c r="K56" s="397"/>
      <c r="L56" s="397"/>
      <c r="M56" s="397"/>
      <c r="N56" s="397"/>
      <c r="O56" s="397"/>
      <c r="P56" s="397"/>
      <c r="Q56" s="141"/>
      <c r="R56" s="264"/>
      <c r="AG56" s="90"/>
    </row>
    <row r="57" spans="2:33" x14ac:dyDescent="0.2">
      <c r="B57" s="136"/>
      <c r="C57" s="413" t="str">
        <f t="shared" si="4"/>
        <v>&gt;10-35</v>
      </c>
      <c r="D57" s="190" t="s">
        <v>2165</v>
      </c>
      <c r="E57" s="190" t="s">
        <v>828</v>
      </c>
      <c r="F57" s="447" t="s">
        <v>2163</v>
      </c>
      <c r="G57" s="270">
        <f>$G$9</f>
        <v>0</v>
      </c>
      <c r="H57" s="190" t="s">
        <v>828</v>
      </c>
      <c r="I57" s="267"/>
      <c r="J57" s="398"/>
      <c r="K57" s="397"/>
      <c r="L57" s="397"/>
      <c r="M57" s="397"/>
      <c r="N57" s="397"/>
      <c r="O57" s="397"/>
      <c r="P57" s="397"/>
      <c r="Q57" s="141"/>
      <c r="R57" s="264"/>
      <c r="AG57" s="90"/>
    </row>
    <row r="58" spans="2:33" x14ac:dyDescent="0.2">
      <c r="B58" s="136"/>
      <c r="C58" s="413" t="str">
        <f t="shared" si="4"/>
        <v>&gt;35-100</v>
      </c>
      <c r="D58" s="190" t="s">
        <v>2165</v>
      </c>
      <c r="E58" s="190" t="s">
        <v>828</v>
      </c>
      <c r="F58" s="447" t="s">
        <v>2163</v>
      </c>
      <c r="G58" s="270">
        <f>$G$10</f>
        <v>0</v>
      </c>
      <c r="H58" s="413" t="s">
        <v>828</v>
      </c>
      <c r="I58" s="271"/>
      <c r="J58" s="398"/>
      <c r="K58" s="397"/>
      <c r="L58" s="397"/>
      <c r="M58" s="397"/>
      <c r="N58" s="397"/>
      <c r="O58" s="397"/>
      <c r="P58" s="397"/>
      <c r="Q58" s="141"/>
      <c r="R58" s="264"/>
      <c r="AG58" s="93"/>
    </row>
    <row r="59" spans="2:33" x14ac:dyDescent="0.2">
      <c r="B59" s="136"/>
      <c r="C59" s="413" t="str">
        <f>C35</f>
        <v>&gt;100</v>
      </c>
      <c r="D59" s="190" t="s">
        <v>2165</v>
      </c>
      <c r="E59" s="190" t="s">
        <v>828</v>
      </c>
      <c r="F59" s="447" t="s">
        <v>2163</v>
      </c>
      <c r="G59" s="270">
        <f>$G$11</f>
        <v>0</v>
      </c>
      <c r="H59" s="272" t="str">
        <f>$H$11</f>
        <v>-</v>
      </c>
      <c r="I59" s="273"/>
      <c r="J59" s="398"/>
      <c r="K59" s="397"/>
      <c r="L59" s="397"/>
      <c r="M59" s="397"/>
      <c r="N59" s="397"/>
      <c r="O59" s="397"/>
      <c r="P59" s="397"/>
      <c r="Q59" s="141"/>
      <c r="R59" s="264"/>
      <c r="AG59" s="90"/>
    </row>
    <row r="60" spans="2:33" x14ac:dyDescent="0.2">
      <c r="B60" s="136"/>
      <c r="C60" s="274"/>
      <c r="D60" s="274"/>
      <c r="E60" s="274"/>
      <c r="F60" s="274"/>
      <c r="G60" s="275"/>
      <c r="H60" s="276"/>
      <c r="I60" s="273"/>
      <c r="J60" s="398"/>
      <c r="K60" s="397"/>
      <c r="L60" s="397"/>
      <c r="M60" s="400"/>
      <c r="N60" s="397"/>
      <c r="O60" s="397"/>
      <c r="P60" s="141"/>
      <c r="Q60" s="141"/>
      <c r="R60" s="264"/>
      <c r="AG60" s="93"/>
    </row>
    <row r="61" spans="2:33" x14ac:dyDescent="0.2">
      <c r="B61" s="277" t="s">
        <v>1642</v>
      </c>
      <c r="C61" s="141"/>
      <c r="D61" s="136"/>
      <c r="E61" s="136"/>
      <c r="F61" s="141"/>
      <c r="G61" s="141"/>
      <c r="H61" s="141"/>
      <c r="I61" s="180"/>
      <c r="J61" s="398"/>
      <c r="K61" s="397"/>
      <c r="L61" s="141"/>
      <c r="M61" s="268"/>
      <c r="N61" s="141"/>
      <c r="O61" s="141"/>
      <c r="P61" s="141"/>
      <c r="Q61" s="398"/>
      <c r="AG61" s="90"/>
    </row>
    <row r="62" spans="2:33" x14ac:dyDescent="0.2">
      <c r="B62" s="141" t="str">
        <f>Eingabe!I215</f>
        <v>keine Landesförderung</v>
      </c>
      <c r="C62" s="141"/>
      <c r="D62" s="141"/>
      <c r="E62" s="141"/>
      <c r="F62" s="141"/>
      <c r="G62" s="141"/>
      <c r="H62" s="141"/>
      <c r="I62" s="180"/>
      <c r="J62" s="398"/>
      <c r="K62" s="397"/>
      <c r="L62" s="141"/>
      <c r="M62" s="268"/>
      <c r="N62" s="141"/>
      <c r="O62" s="141"/>
      <c r="P62" s="141"/>
      <c r="Q62" s="398"/>
      <c r="R62" s="264"/>
      <c r="AG62" s="92"/>
    </row>
    <row r="63" spans="2:33" x14ac:dyDescent="0.2">
      <c r="B63" s="136"/>
      <c r="C63" s="274"/>
      <c r="D63" s="274"/>
      <c r="E63" s="274"/>
      <c r="F63" s="274"/>
      <c r="G63" s="275"/>
      <c r="H63" s="276"/>
      <c r="I63" s="273"/>
      <c r="J63" s="398"/>
      <c r="K63" s="398"/>
      <c r="L63" s="398"/>
      <c r="M63" s="399"/>
      <c r="N63" s="398"/>
      <c r="O63" s="398"/>
      <c r="P63" s="398"/>
      <c r="Q63" s="398"/>
      <c r="R63" s="264"/>
      <c r="AG63" s="90"/>
    </row>
    <row r="64" spans="2:33" ht="5.0999999999999996" customHeight="1" x14ac:dyDescent="0.2">
      <c r="B64" s="262"/>
      <c r="C64" s="262"/>
      <c r="D64" s="262"/>
      <c r="E64" s="262"/>
      <c r="F64" s="262"/>
      <c r="G64" s="262"/>
      <c r="H64" s="262"/>
      <c r="I64" s="262"/>
      <c r="J64" s="262"/>
      <c r="K64" s="262"/>
      <c r="L64" s="262"/>
      <c r="M64" s="263"/>
      <c r="N64" s="262"/>
      <c r="O64" s="262"/>
      <c r="P64" s="262"/>
      <c r="Q64" s="262"/>
      <c r="R64" s="264"/>
      <c r="AG64" s="90"/>
    </row>
    <row r="65" spans="2:33" ht="15.75" x14ac:dyDescent="0.25">
      <c r="B65" s="261" t="s">
        <v>2436</v>
      </c>
      <c r="C65" s="262"/>
      <c r="D65" s="262"/>
      <c r="E65" s="262"/>
      <c r="F65" s="262"/>
      <c r="G65" s="262"/>
      <c r="H65" s="262"/>
      <c r="I65" s="262"/>
      <c r="J65" s="261" t="s">
        <v>2075</v>
      </c>
      <c r="K65" s="262"/>
      <c r="L65" s="262"/>
      <c r="M65" s="263"/>
      <c r="N65" s="262"/>
      <c r="O65" s="262"/>
      <c r="P65" s="262"/>
      <c r="Q65" s="262"/>
      <c r="R65" s="264"/>
      <c r="AG65" s="92"/>
    </row>
    <row r="66" spans="2:33" ht="5.0999999999999996" customHeight="1" x14ac:dyDescent="0.2">
      <c r="B66" s="262"/>
      <c r="C66" s="262"/>
      <c r="D66" s="262"/>
      <c r="E66" s="262"/>
      <c r="F66" s="262"/>
      <c r="G66" s="262"/>
      <c r="H66" s="262"/>
      <c r="I66" s="262"/>
      <c r="J66" s="262"/>
      <c r="K66" s="262"/>
      <c r="L66" s="262"/>
      <c r="M66" s="263"/>
      <c r="N66" s="262"/>
      <c r="O66" s="262"/>
      <c r="P66" s="262"/>
      <c r="Q66" s="262"/>
      <c r="R66" s="264"/>
      <c r="AG66" s="90"/>
    </row>
    <row r="67" spans="2:33" x14ac:dyDescent="0.2">
      <c r="B67" s="205" t="s">
        <v>2170</v>
      </c>
      <c r="C67" s="149"/>
      <c r="D67" s="149"/>
      <c r="E67" s="149"/>
      <c r="F67" s="149"/>
      <c r="G67" s="208"/>
      <c r="H67" s="208"/>
      <c r="I67" s="206"/>
      <c r="J67" s="401" t="s">
        <v>2726</v>
      </c>
      <c r="K67" s="240"/>
      <c r="L67" s="240"/>
      <c r="M67" s="329"/>
      <c r="N67" s="240"/>
      <c r="O67" s="240"/>
      <c r="P67" s="240"/>
      <c r="Q67" s="240"/>
      <c r="R67" s="264"/>
      <c r="AG67" s="93"/>
    </row>
    <row r="68" spans="2:33" x14ac:dyDescent="0.2">
      <c r="B68" s="136"/>
      <c r="C68" s="538" t="s">
        <v>2162</v>
      </c>
      <c r="D68" s="539"/>
      <c r="E68" s="539" t="s">
        <v>827</v>
      </c>
      <c r="F68" s="539"/>
      <c r="G68" s="539" t="s">
        <v>824</v>
      </c>
      <c r="H68" s="539"/>
      <c r="I68" s="180"/>
      <c r="J68" s="265"/>
      <c r="K68" s="141" t="s">
        <v>2700</v>
      </c>
      <c r="L68" s="141"/>
      <c r="M68" s="165"/>
      <c r="N68" s="141"/>
      <c r="O68" s="141"/>
      <c r="P68" s="141"/>
      <c r="Q68" s="141"/>
      <c r="R68" s="264"/>
      <c r="AG68" s="90"/>
    </row>
    <row r="69" spans="2:33" x14ac:dyDescent="0.2">
      <c r="B69" s="136"/>
      <c r="C69" s="191" t="s">
        <v>2052</v>
      </c>
      <c r="D69" s="191" t="s">
        <v>2052</v>
      </c>
      <c r="E69" s="195" t="s">
        <v>826</v>
      </c>
      <c r="F69" s="266"/>
      <c r="G69" s="192" t="s">
        <v>826</v>
      </c>
      <c r="H69" s="192"/>
      <c r="I69" s="267"/>
      <c r="J69" s="141"/>
      <c r="K69" s="531" t="s">
        <v>2729</v>
      </c>
      <c r="L69" s="532"/>
      <c r="M69" s="532"/>
      <c r="N69" s="532"/>
      <c r="O69" s="532"/>
      <c r="P69" s="533"/>
      <c r="Q69" s="141"/>
      <c r="R69" s="264"/>
      <c r="AG69" s="90"/>
    </row>
    <row r="70" spans="2:33" x14ac:dyDescent="0.2">
      <c r="B70" s="136"/>
      <c r="C70" s="413" t="str">
        <f t="shared" ref="C70:C72" si="5">C56</f>
        <v>0,01-10</v>
      </c>
      <c r="D70" s="190" t="s">
        <v>2165</v>
      </c>
      <c r="E70" s="447" t="s">
        <v>828</v>
      </c>
      <c r="F70" s="447" t="s">
        <v>2163</v>
      </c>
      <c r="G70" s="270">
        <f>$G$8</f>
        <v>0</v>
      </c>
      <c r="H70" s="192" t="s">
        <v>828</v>
      </c>
      <c r="I70" s="267"/>
      <c r="J70" s="141"/>
      <c r="K70" s="89"/>
      <c r="L70" s="141"/>
      <c r="M70" s="268"/>
      <c r="N70" s="141"/>
      <c r="O70" s="141"/>
      <c r="P70" s="141"/>
      <c r="Q70" s="141"/>
      <c r="R70" s="264"/>
      <c r="AG70" s="90"/>
    </row>
    <row r="71" spans="2:33" x14ac:dyDescent="0.2">
      <c r="B71" s="136"/>
      <c r="C71" s="413" t="str">
        <f t="shared" si="5"/>
        <v>&gt;10-35</v>
      </c>
      <c r="D71" s="190" t="s">
        <v>2165</v>
      </c>
      <c r="E71" s="447" t="s">
        <v>828</v>
      </c>
      <c r="F71" s="447" t="s">
        <v>2163</v>
      </c>
      <c r="G71" s="270">
        <f>$G$9</f>
        <v>0</v>
      </c>
      <c r="H71" s="190" t="s">
        <v>828</v>
      </c>
      <c r="I71" s="267"/>
      <c r="J71" s="141"/>
      <c r="K71" s="141"/>
      <c r="L71" s="141"/>
      <c r="M71" s="268"/>
      <c r="N71" s="141"/>
      <c r="O71" s="141"/>
      <c r="P71" s="141"/>
      <c r="Q71" s="141"/>
      <c r="R71" s="264"/>
      <c r="AG71" s="90"/>
    </row>
    <row r="72" spans="2:33" x14ac:dyDescent="0.2">
      <c r="B72" s="136"/>
      <c r="C72" s="413" t="str">
        <f t="shared" si="5"/>
        <v>&gt;35-100</v>
      </c>
      <c r="D72" s="190" t="s">
        <v>2165</v>
      </c>
      <c r="E72" s="447" t="s">
        <v>828</v>
      </c>
      <c r="F72" s="447" t="s">
        <v>2163</v>
      </c>
      <c r="G72" s="270">
        <f>$G$10</f>
        <v>0</v>
      </c>
      <c r="H72" s="413" t="s">
        <v>828</v>
      </c>
      <c r="I72" s="271"/>
      <c r="J72" s="137"/>
      <c r="K72" s="141"/>
      <c r="L72" s="141"/>
      <c r="M72" s="141"/>
      <c r="N72" s="141"/>
      <c r="O72" s="141"/>
      <c r="P72" s="141"/>
      <c r="Q72" s="141"/>
      <c r="R72" s="264"/>
      <c r="AG72" s="90"/>
    </row>
    <row r="73" spans="2:33" x14ac:dyDescent="0.2">
      <c r="B73" s="136"/>
      <c r="C73" s="413" t="str">
        <f>C59</f>
        <v>&gt;100</v>
      </c>
      <c r="D73" s="190" t="s">
        <v>2165</v>
      </c>
      <c r="E73" s="447" t="s">
        <v>828</v>
      </c>
      <c r="F73" s="447" t="s">
        <v>2163</v>
      </c>
      <c r="G73" s="270">
        <f>$G$11</f>
        <v>0</v>
      </c>
      <c r="H73" s="272" t="str">
        <f>$H$11</f>
        <v>-</v>
      </c>
      <c r="I73" s="273"/>
      <c r="J73" s="141"/>
      <c r="K73" s="89"/>
      <c r="L73" s="141"/>
      <c r="M73" s="165"/>
      <c r="N73" s="141"/>
      <c r="O73" s="141"/>
      <c r="P73" s="141"/>
      <c r="Q73" s="141"/>
      <c r="R73" s="264"/>
      <c r="AG73" s="90"/>
    </row>
    <row r="74" spans="2:33" ht="12.75" customHeight="1" x14ac:dyDescent="0.35">
      <c r="B74" s="136"/>
      <c r="C74" s="274"/>
      <c r="D74" s="274"/>
      <c r="E74" s="274"/>
      <c r="F74" s="274"/>
      <c r="G74" s="275"/>
      <c r="H74" s="276"/>
      <c r="I74" s="273"/>
      <c r="J74" s="141"/>
      <c r="K74" s="141"/>
      <c r="L74" s="141"/>
      <c r="M74" s="165"/>
      <c r="N74" s="141"/>
      <c r="O74" s="141"/>
      <c r="P74" s="141"/>
      <c r="Q74" s="141"/>
      <c r="R74" s="264"/>
      <c r="AG74" s="94"/>
    </row>
    <row r="75" spans="2:33" x14ac:dyDescent="0.2">
      <c r="B75" s="277" t="s">
        <v>1642</v>
      </c>
      <c r="C75" s="141"/>
      <c r="D75" s="136"/>
      <c r="E75" s="136"/>
      <c r="F75" s="141"/>
      <c r="G75" s="141"/>
      <c r="H75" s="141"/>
      <c r="I75" s="180"/>
      <c r="J75" s="141"/>
      <c r="K75" s="141"/>
      <c r="L75" s="141"/>
      <c r="M75" s="141"/>
      <c r="N75" s="141"/>
      <c r="O75" s="141"/>
      <c r="P75" s="141"/>
      <c r="Q75" s="141"/>
      <c r="R75" s="264"/>
      <c r="AG75" s="90"/>
    </row>
    <row r="76" spans="2:33" x14ac:dyDescent="0.2">
      <c r="B76" s="141" t="str">
        <f>Eingabe!I216</f>
        <v>keine Landesförderung</v>
      </c>
      <c r="C76" s="141"/>
      <c r="D76" s="141"/>
      <c r="E76" s="141"/>
      <c r="F76" s="141"/>
      <c r="G76" s="141"/>
      <c r="H76" s="141"/>
      <c r="I76" s="180"/>
      <c r="J76" s="141"/>
      <c r="K76" s="141"/>
      <c r="L76" s="141"/>
      <c r="M76" s="165"/>
      <c r="N76" s="141"/>
      <c r="O76" s="141"/>
      <c r="P76" s="141"/>
      <c r="Q76" s="141"/>
      <c r="R76" s="264"/>
      <c r="AG76" s="90"/>
    </row>
    <row r="77" spans="2:33" x14ac:dyDescent="0.2">
      <c r="B77" s="136"/>
      <c r="C77" s="274"/>
      <c r="D77" s="274"/>
      <c r="E77" s="274"/>
      <c r="F77" s="274"/>
      <c r="G77" s="275"/>
      <c r="H77" s="276"/>
      <c r="I77" s="273"/>
      <c r="J77" s="141"/>
      <c r="K77" s="141"/>
      <c r="L77" s="141"/>
      <c r="M77" s="165"/>
      <c r="N77" s="141"/>
      <c r="O77" s="141"/>
      <c r="P77" s="141"/>
      <c r="Q77" s="141"/>
      <c r="R77" s="264"/>
      <c r="AG77" s="92"/>
    </row>
    <row r="78" spans="2:33" ht="5.0999999999999996" customHeight="1" x14ac:dyDescent="0.2">
      <c r="B78" s="126"/>
      <c r="C78" s="126"/>
      <c r="D78" s="126"/>
      <c r="E78" s="126"/>
      <c r="F78" s="126"/>
      <c r="G78" s="126"/>
      <c r="H78" s="126"/>
      <c r="I78" s="126"/>
      <c r="J78" s="262"/>
      <c r="K78" s="262"/>
      <c r="L78" s="262"/>
      <c r="M78" s="263"/>
      <c r="N78" s="262"/>
      <c r="O78" s="262"/>
      <c r="P78" s="262"/>
      <c r="Q78" s="262"/>
      <c r="R78" s="264"/>
      <c r="AG78" s="92"/>
    </row>
    <row r="79" spans="2:33" x14ac:dyDescent="0.2">
      <c r="B79" s="205" t="s">
        <v>34</v>
      </c>
      <c r="C79" s="149"/>
      <c r="D79" s="149"/>
      <c r="E79" s="149"/>
      <c r="F79" s="149"/>
      <c r="G79" s="208"/>
      <c r="H79" s="208"/>
      <c r="I79" s="206"/>
      <c r="J79" s="401" t="s">
        <v>2726</v>
      </c>
      <c r="K79" s="141"/>
      <c r="L79" s="141"/>
      <c r="M79" s="165"/>
      <c r="N79" s="141"/>
      <c r="O79" s="141"/>
      <c r="P79" s="141"/>
      <c r="Q79" s="141"/>
      <c r="R79" s="264"/>
      <c r="AG79" s="93"/>
    </row>
    <row r="80" spans="2:33" x14ac:dyDescent="0.2">
      <c r="B80" s="136"/>
      <c r="C80" s="538" t="s">
        <v>2162</v>
      </c>
      <c r="D80" s="539"/>
      <c r="E80" s="539" t="s">
        <v>827</v>
      </c>
      <c r="F80" s="539"/>
      <c r="G80" s="539" t="s">
        <v>824</v>
      </c>
      <c r="H80" s="539"/>
      <c r="I80" s="180"/>
      <c r="J80" s="265"/>
      <c r="K80" s="141" t="s">
        <v>2732</v>
      </c>
      <c r="L80" s="141"/>
      <c r="M80" s="165"/>
      <c r="N80" s="141"/>
      <c r="O80" s="141"/>
      <c r="P80" s="141"/>
      <c r="Q80" s="141"/>
      <c r="R80" s="264"/>
    </row>
    <row r="81" spans="2:18" x14ac:dyDescent="0.2">
      <c r="B81" s="136"/>
      <c r="C81" s="191" t="s">
        <v>2052</v>
      </c>
      <c r="D81" s="191" t="s">
        <v>2052</v>
      </c>
      <c r="E81" s="195" t="s">
        <v>826</v>
      </c>
      <c r="F81" s="266"/>
      <c r="G81" s="192" t="s">
        <v>826</v>
      </c>
      <c r="H81" s="192"/>
      <c r="I81" s="267"/>
      <c r="J81" s="141"/>
      <c r="K81" s="531" t="s">
        <v>2731</v>
      </c>
      <c r="L81" s="532"/>
      <c r="M81" s="532"/>
      <c r="N81" s="532"/>
      <c r="O81" s="532"/>
      <c r="P81" s="533"/>
      <c r="Q81" s="141" t="s">
        <v>2167</v>
      </c>
      <c r="R81" s="264"/>
    </row>
    <row r="82" spans="2:18" x14ac:dyDescent="0.2">
      <c r="B82" s="136"/>
      <c r="C82" s="413" t="str">
        <f t="shared" ref="C82:C84" si="6">C70</f>
        <v>0,01-10</v>
      </c>
      <c r="D82" s="190" t="s">
        <v>2165</v>
      </c>
      <c r="E82" s="446">
        <v>250</v>
      </c>
      <c r="F82" s="446" t="s">
        <v>2163</v>
      </c>
      <c r="G82" s="270">
        <f>$G$8</f>
        <v>0</v>
      </c>
      <c r="H82" s="192" t="s">
        <v>828</v>
      </c>
      <c r="I82" s="267"/>
      <c r="J82" s="141"/>
      <c r="K82" s="141"/>
      <c r="L82" s="141"/>
      <c r="M82" s="268"/>
      <c r="N82" s="141"/>
      <c r="O82" s="141"/>
      <c r="P82" s="141"/>
      <c r="Q82" s="141"/>
      <c r="R82" s="264"/>
    </row>
    <row r="83" spans="2:18" x14ac:dyDescent="0.2">
      <c r="B83" s="136"/>
      <c r="C83" s="413" t="str">
        <f t="shared" si="6"/>
        <v>&gt;10-35</v>
      </c>
      <c r="D83" s="190" t="s">
        <v>2165</v>
      </c>
      <c r="E83" s="446">
        <v>250</v>
      </c>
      <c r="F83" s="446" t="s">
        <v>2163</v>
      </c>
      <c r="G83" s="270">
        <f>$G$9</f>
        <v>0</v>
      </c>
      <c r="H83" s="190" t="s">
        <v>828</v>
      </c>
      <c r="I83" s="267"/>
      <c r="J83" s="141"/>
      <c r="K83" s="141"/>
      <c r="L83" s="141"/>
      <c r="M83" s="268"/>
      <c r="N83" s="141"/>
      <c r="O83" s="141"/>
      <c r="P83" s="141"/>
      <c r="Q83" s="141"/>
      <c r="R83" s="264"/>
    </row>
    <row r="84" spans="2:18" x14ac:dyDescent="0.2">
      <c r="B84" s="136"/>
      <c r="C84" s="413" t="str">
        <f t="shared" si="6"/>
        <v>&gt;35-100</v>
      </c>
      <c r="D84" s="190" t="s">
        <v>2165</v>
      </c>
      <c r="E84" s="190" t="s">
        <v>828</v>
      </c>
      <c r="F84" s="447" t="s">
        <v>2163</v>
      </c>
      <c r="G84" s="270">
        <f>$G$10</f>
        <v>0</v>
      </c>
      <c r="H84" s="413" t="s">
        <v>828</v>
      </c>
      <c r="I84" s="271"/>
      <c r="J84" s="137"/>
      <c r="K84" s="141"/>
      <c r="L84" s="141"/>
      <c r="M84" s="141"/>
      <c r="N84" s="141"/>
      <c r="O84" s="141"/>
      <c r="P84" s="141"/>
      <c r="Q84" s="141"/>
      <c r="R84" s="264"/>
    </row>
    <row r="85" spans="2:18" x14ac:dyDescent="0.2">
      <c r="B85" s="136"/>
      <c r="C85" s="413" t="str">
        <f>C73</f>
        <v>&gt;100</v>
      </c>
      <c r="D85" s="190" t="s">
        <v>2165</v>
      </c>
      <c r="E85" s="190" t="s">
        <v>828</v>
      </c>
      <c r="F85" s="447" t="s">
        <v>2163</v>
      </c>
      <c r="G85" s="270">
        <f>$G$11</f>
        <v>0</v>
      </c>
      <c r="H85" s="272" t="str">
        <f>$H$11</f>
        <v>-</v>
      </c>
      <c r="I85" s="273"/>
      <c r="J85" s="141"/>
      <c r="K85" s="141"/>
      <c r="L85" s="141"/>
      <c r="M85" s="165"/>
      <c r="N85" s="141"/>
      <c r="O85" s="141"/>
      <c r="P85" s="141"/>
      <c r="Q85" s="141"/>
      <c r="R85" s="264"/>
    </row>
    <row r="86" spans="2:18" x14ac:dyDescent="0.2">
      <c r="B86" s="136"/>
      <c r="C86" s="274"/>
      <c r="D86" s="274"/>
      <c r="E86" s="274"/>
      <c r="F86" s="274"/>
      <c r="G86" s="275"/>
      <c r="H86" s="276"/>
      <c r="I86" s="273"/>
      <c r="J86" s="141"/>
      <c r="K86" s="141"/>
      <c r="L86" s="141"/>
      <c r="M86" s="165"/>
      <c r="N86" s="141"/>
      <c r="O86" s="141"/>
      <c r="P86" s="141"/>
      <c r="Q86" s="141"/>
      <c r="R86" s="264"/>
    </row>
    <row r="87" spans="2:18" x14ac:dyDescent="0.2">
      <c r="B87" s="277" t="s">
        <v>1642</v>
      </c>
      <c r="C87" s="141"/>
      <c r="D87" s="136"/>
      <c r="E87" s="136"/>
      <c r="F87" s="141"/>
      <c r="G87" s="141"/>
      <c r="H87" s="141"/>
      <c r="I87" s="180"/>
      <c r="J87" s="141"/>
      <c r="K87" s="141"/>
      <c r="L87" s="141"/>
      <c r="M87" s="165"/>
      <c r="N87" s="141"/>
      <c r="O87" s="141"/>
      <c r="P87" s="141"/>
      <c r="Q87" s="141"/>
      <c r="R87" s="264"/>
    </row>
    <row r="88" spans="2:18" x14ac:dyDescent="0.2">
      <c r="B88" s="141" t="str">
        <f>Eingabe!I217</f>
        <v>Landesförderung bis max. 20kWp und max. 50% der förderfähigen Kosten oder 55% Annuitätenzuschuss.</v>
      </c>
      <c r="C88" s="141"/>
      <c r="D88" s="141"/>
      <c r="E88" s="141"/>
      <c r="F88" s="141"/>
      <c r="G88" s="141"/>
      <c r="H88" s="141"/>
      <c r="I88" s="180"/>
      <c r="J88" s="141"/>
      <c r="K88" s="141"/>
      <c r="L88" s="141"/>
      <c r="M88" s="165"/>
      <c r="N88" s="141"/>
      <c r="O88" s="141"/>
      <c r="P88" s="141"/>
      <c r="Q88" s="141"/>
      <c r="R88" s="264"/>
    </row>
    <row r="89" spans="2:18" x14ac:dyDescent="0.2">
      <c r="B89" s="136"/>
      <c r="C89" s="274"/>
      <c r="D89" s="274"/>
      <c r="E89" s="274"/>
      <c r="F89" s="274"/>
      <c r="G89" s="275"/>
      <c r="H89" s="276"/>
      <c r="I89" s="273"/>
      <c r="J89" s="141"/>
      <c r="K89" s="141"/>
      <c r="L89" s="141"/>
      <c r="M89" s="165"/>
      <c r="N89" s="141"/>
      <c r="O89" s="141"/>
      <c r="P89" s="141"/>
      <c r="Q89" s="141"/>
      <c r="R89" s="264"/>
    </row>
    <row r="90" spans="2:18" ht="5.0999999999999996" customHeight="1" x14ac:dyDescent="0.2">
      <c r="B90" s="126"/>
      <c r="C90" s="126"/>
      <c r="D90" s="126"/>
      <c r="E90" s="126"/>
      <c r="F90" s="126"/>
      <c r="G90" s="126"/>
      <c r="H90" s="126"/>
      <c r="I90" s="126"/>
      <c r="J90" s="262"/>
      <c r="K90" s="262"/>
      <c r="L90" s="262"/>
      <c r="M90" s="263"/>
      <c r="N90" s="262"/>
      <c r="O90" s="262"/>
      <c r="P90" s="262"/>
      <c r="Q90" s="262"/>
      <c r="R90" s="264"/>
    </row>
    <row r="91" spans="2:18" x14ac:dyDescent="0.2">
      <c r="B91" s="205" t="s">
        <v>35</v>
      </c>
      <c r="C91" s="149"/>
      <c r="D91" s="149"/>
      <c r="E91" s="149"/>
      <c r="F91" s="149"/>
      <c r="G91" s="208"/>
      <c r="H91" s="208"/>
      <c r="I91" s="206"/>
      <c r="J91" s="401" t="s">
        <v>2726</v>
      </c>
      <c r="K91" s="141"/>
      <c r="L91" s="141"/>
      <c r="M91" s="165"/>
      <c r="N91" s="141"/>
      <c r="O91" s="141"/>
      <c r="P91" s="141"/>
      <c r="Q91" s="141"/>
      <c r="R91" s="264"/>
    </row>
    <row r="92" spans="2:18" x14ac:dyDescent="0.2">
      <c r="B92" s="136"/>
      <c r="C92" s="538" t="s">
        <v>2162</v>
      </c>
      <c r="D92" s="539"/>
      <c r="E92" s="539" t="s">
        <v>827</v>
      </c>
      <c r="F92" s="539"/>
      <c r="G92" s="539" t="s">
        <v>824</v>
      </c>
      <c r="H92" s="539"/>
      <c r="I92" s="180"/>
      <c r="J92" s="265"/>
      <c r="K92" s="141" t="s">
        <v>2733</v>
      </c>
      <c r="L92" s="141"/>
      <c r="M92" s="165"/>
      <c r="N92" s="141"/>
      <c r="O92" s="141"/>
      <c r="P92" s="141"/>
      <c r="Q92" s="141"/>
      <c r="R92" s="264"/>
    </row>
    <row r="93" spans="2:18" x14ac:dyDescent="0.2">
      <c r="B93" s="136"/>
      <c r="C93" s="191" t="s">
        <v>2052</v>
      </c>
      <c r="D93" s="191" t="s">
        <v>2052</v>
      </c>
      <c r="E93" s="195" t="s">
        <v>826</v>
      </c>
      <c r="F93" s="266"/>
      <c r="G93" s="192" t="s">
        <v>826</v>
      </c>
      <c r="H93" s="192"/>
      <c r="I93" s="267"/>
      <c r="J93" s="141"/>
      <c r="K93" s="531" t="s">
        <v>2727</v>
      </c>
      <c r="L93" s="532"/>
      <c r="M93" s="532"/>
      <c r="N93" s="532"/>
      <c r="O93" s="532"/>
      <c r="P93" s="533"/>
      <c r="Q93" s="141"/>
      <c r="R93" s="264"/>
    </row>
    <row r="94" spans="2:18" x14ac:dyDescent="0.2">
      <c r="B94" s="136"/>
      <c r="C94" s="413" t="str">
        <f t="shared" ref="C94:C96" si="7">C82</f>
        <v>0,01-10</v>
      </c>
      <c r="D94" s="190" t="s">
        <v>2165</v>
      </c>
      <c r="E94" s="447" t="s">
        <v>828</v>
      </c>
      <c r="F94" s="447" t="s">
        <v>2163</v>
      </c>
      <c r="G94" s="270">
        <f>$G$8</f>
        <v>0</v>
      </c>
      <c r="H94" s="192" t="s">
        <v>828</v>
      </c>
      <c r="I94" s="267"/>
      <c r="J94" s="141"/>
      <c r="K94" s="141"/>
      <c r="L94" s="141"/>
      <c r="M94" s="268"/>
      <c r="N94" s="141"/>
      <c r="O94" s="141"/>
      <c r="P94" s="141"/>
      <c r="Q94" s="141"/>
      <c r="R94" s="264"/>
    </row>
    <row r="95" spans="2:18" x14ac:dyDescent="0.2">
      <c r="B95" s="136"/>
      <c r="C95" s="413" t="str">
        <f t="shared" si="7"/>
        <v>&gt;10-35</v>
      </c>
      <c r="D95" s="190" t="s">
        <v>2165</v>
      </c>
      <c r="E95" s="447" t="s">
        <v>828</v>
      </c>
      <c r="F95" s="446" t="s">
        <v>2163</v>
      </c>
      <c r="G95" s="270">
        <f>$G$9</f>
        <v>0</v>
      </c>
      <c r="H95" s="190" t="s">
        <v>828</v>
      </c>
      <c r="I95" s="267"/>
      <c r="J95" s="141"/>
      <c r="K95" s="141"/>
      <c r="L95" s="141"/>
      <c r="M95" s="268"/>
      <c r="N95" s="141"/>
      <c r="O95" s="141"/>
      <c r="P95" s="141"/>
      <c r="Q95" s="141"/>
      <c r="R95" s="264"/>
    </row>
    <row r="96" spans="2:18" x14ac:dyDescent="0.2">
      <c r="B96" s="136"/>
      <c r="C96" s="413" t="str">
        <f t="shared" si="7"/>
        <v>&gt;35-100</v>
      </c>
      <c r="D96" s="190" t="s">
        <v>2165</v>
      </c>
      <c r="E96" s="447" t="s">
        <v>828</v>
      </c>
      <c r="F96" s="446" t="s">
        <v>2163</v>
      </c>
      <c r="G96" s="270">
        <f>$G$10</f>
        <v>0</v>
      </c>
      <c r="H96" s="413" t="s">
        <v>828</v>
      </c>
      <c r="I96" s="271"/>
      <c r="J96" s="137"/>
      <c r="K96" s="141"/>
      <c r="L96" s="141"/>
      <c r="M96" s="141"/>
      <c r="N96" s="141"/>
      <c r="O96" s="141"/>
      <c r="P96" s="141"/>
      <c r="Q96" s="141"/>
      <c r="R96" s="264"/>
    </row>
    <row r="97" spans="2:18" x14ac:dyDescent="0.2">
      <c r="B97" s="136"/>
      <c r="C97" s="190" t="str">
        <f>C85</f>
        <v>&gt;100</v>
      </c>
      <c r="D97" s="190" t="s">
        <v>2165</v>
      </c>
      <c r="E97" s="447" t="s">
        <v>828</v>
      </c>
      <c r="F97" s="446" t="s">
        <v>2163</v>
      </c>
      <c r="G97" s="270">
        <f>$G$11</f>
        <v>0</v>
      </c>
      <c r="H97" s="272" t="str">
        <f>$H$11</f>
        <v>-</v>
      </c>
      <c r="I97" s="273"/>
      <c r="J97" s="141"/>
      <c r="K97" s="141"/>
      <c r="L97" s="141"/>
      <c r="M97" s="165"/>
      <c r="N97" s="141"/>
      <c r="O97" s="141"/>
      <c r="P97" s="141"/>
      <c r="Q97" s="141"/>
      <c r="R97" s="264"/>
    </row>
    <row r="98" spans="2:18" x14ac:dyDescent="0.2">
      <c r="B98" s="136"/>
      <c r="C98" s="274"/>
      <c r="D98" s="274"/>
      <c r="E98" s="274"/>
      <c r="F98" s="274"/>
      <c r="G98" s="275"/>
      <c r="H98" s="276"/>
      <c r="I98" s="273"/>
      <c r="J98" s="141"/>
      <c r="K98" s="141"/>
      <c r="L98" s="141"/>
      <c r="M98" s="165"/>
      <c r="N98" s="141"/>
      <c r="O98" s="141"/>
      <c r="P98" s="141"/>
      <c r="Q98" s="141"/>
      <c r="R98" s="264"/>
    </row>
    <row r="99" spans="2:18" x14ac:dyDescent="0.2">
      <c r="B99" s="277" t="s">
        <v>1642</v>
      </c>
      <c r="C99" s="141"/>
      <c r="D99" s="136"/>
      <c r="E99" s="136"/>
      <c r="F99" s="141"/>
      <c r="G99" s="141"/>
      <c r="H99" s="141"/>
      <c r="I99" s="180"/>
      <c r="J99" s="141"/>
      <c r="K99" s="141"/>
      <c r="L99" s="141"/>
      <c r="M99" s="165"/>
      <c r="N99" s="141"/>
      <c r="O99" s="141"/>
      <c r="P99" s="141"/>
      <c r="Q99" s="141"/>
      <c r="R99" s="264"/>
    </row>
    <row r="100" spans="2:18" x14ac:dyDescent="0.2">
      <c r="B100" s="141" t="str">
        <f>Eingabe!I218</f>
        <v>keine Landesförderung</v>
      </c>
      <c r="C100" s="141"/>
      <c r="D100" s="141"/>
      <c r="E100" s="141"/>
      <c r="F100" s="141"/>
      <c r="G100" s="141"/>
      <c r="H100" s="141"/>
      <c r="I100" s="180"/>
      <c r="J100" s="141"/>
      <c r="K100" s="141"/>
      <c r="L100" s="141"/>
      <c r="M100" s="165"/>
      <c r="N100" s="141"/>
      <c r="O100" s="141"/>
      <c r="P100" s="141"/>
      <c r="Q100" s="141"/>
      <c r="R100" s="264"/>
    </row>
    <row r="101" spans="2:18" x14ac:dyDescent="0.2">
      <c r="B101" s="136"/>
      <c r="C101" s="274"/>
      <c r="D101" s="274"/>
      <c r="E101" s="274"/>
      <c r="F101" s="274"/>
      <c r="G101" s="275"/>
      <c r="H101" s="276"/>
      <c r="I101" s="273"/>
      <c r="J101" s="141"/>
      <c r="K101" s="141"/>
      <c r="L101" s="141"/>
      <c r="M101" s="165"/>
      <c r="N101" s="141"/>
      <c r="O101" s="141"/>
      <c r="P101" s="141"/>
      <c r="Q101" s="141"/>
      <c r="R101" s="264"/>
    </row>
    <row r="102" spans="2:18" ht="5.0999999999999996" customHeight="1" x14ac:dyDescent="0.2">
      <c r="B102" s="262"/>
      <c r="C102" s="262"/>
      <c r="D102" s="262"/>
      <c r="E102" s="262"/>
      <c r="F102" s="262"/>
      <c r="G102" s="262"/>
      <c r="H102" s="262"/>
      <c r="I102" s="262"/>
      <c r="J102" s="262"/>
      <c r="K102" s="262"/>
      <c r="L102" s="262"/>
      <c r="M102" s="263"/>
      <c r="N102" s="262"/>
      <c r="O102" s="262"/>
      <c r="P102" s="262"/>
      <c r="Q102" s="262"/>
      <c r="R102" s="264"/>
    </row>
    <row r="103" spans="2:18" x14ac:dyDescent="0.2">
      <c r="B103" s="205" t="s">
        <v>2171</v>
      </c>
      <c r="C103" s="149"/>
      <c r="D103" s="149"/>
      <c r="E103" s="149"/>
      <c r="F103" s="149"/>
      <c r="G103" s="208"/>
      <c r="H103" s="208"/>
      <c r="I103" s="206"/>
      <c r="J103" s="401" t="s">
        <v>2726</v>
      </c>
      <c r="K103" s="141"/>
      <c r="L103" s="141"/>
      <c r="M103" s="165"/>
      <c r="N103" s="141"/>
      <c r="O103" s="141"/>
      <c r="P103" s="141"/>
      <c r="Q103" s="141"/>
      <c r="R103" s="264"/>
    </row>
    <row r="104" spans="2:18" x14ac:dyDescent="0.2">
      <c r="B104" s="136"/>
      <c r="C104" s="538" t="s">
        <v>2162</v>
      </c>
      <c r="D104" s="539"/>
      <c r="E104" s="539" t="s">
        <v>827</v>
      </c>
      <c r="F104" s="539"/>
      <c r="G104" s="539" t="s">
        <v>824</v>
      </c>
      <c r="H104" s="539"/>
      <c r="I104" s="180"/>
      <c r="J104" s="265"/>
      <c r="K104" s="141" t="s">
        <v>2700</v>
      </c>
      <c r="L104" s="141"/>
      <c r="M104" s="165"/>
      <c r="N104" s="141"/>
      <c r="O104" s="141"/>
      <c r="P104" s="141"/>
      <c r="Q104" s="141"/>
      <c r="R104" s="264"/>
    </row>
    <row r="105" spans="2:18" x14ac:dyDescent="0.2">
      <c r="B105" s="136"/>
      <c r="C105" s="191" t="s">
        <v>2052</v>
      </c>
      <c r="D105" s="191" t="s">
        <v>2052</v>
      </c>
      <c r="E105" s="195" t="s">
        <v>826</v>
      </c>
      <c r="F105" s="266"/>
      <c r="G105" s="192" t="s">
        <v>826</v>
      </c>
      <c r="H105" s="192"/>
      <c r="I105" s="267"/>
      <c r="J105" s="141"/>
      <c r="K105" s="531" t="s">
        <v>2703</v>
      </c>
      <c r="L105" s="532"/>
      <c r="M105" s="532"/>
      <c r="N105" s="532"/>
      <c r="O105" s="532"/>
      <c r="P105" s="533"/>
      <c r="Q105" s="141"/>
      <c r="R105" s="264"/>
    </row>
    <row r="106" spans="2:18" x14ac:dyDescent="0.2">
      <c r="B106" s="136"/>
      <c r="C106" s="413" t="str">
        <f t="shared" ref="C106:C108" si="8">C94</f>
        <v>0,01-10</v>
      </c>
      <c r="D106" s="190" t="s">
        <v>2165</v>
      </c>
      <c r="E106" s="190">
        <v>250</v>
      </c>
      <c r="F106" s="190" t="s">
        <v>2163</v>
      </c>
      <c r="G106" s="270">
        <f>$G$8</f>
        <v>0</v>
      </c>
      <c r="H106" s="192" t="s">
        <v>828</v>
      </c>
      <c r="I106" s="267"/>
      <c r="J106" s="141"/>
      <c r="K106" s="141"/>
      <c r="L106" s="141"/>
      <c r="M106" s="268"/>
      <c r="N106" s="141"/>
      <c r="O106" s="141"/>
      <c r="P106" s="141"/>
      <c r="Q106" s="141"/>
      <c r="R106" s="264"/>
    </row>
    <row r="107" spans="2:18" x14ac:dyDescent="0.2">
      <c r="B107" s="136"/>
      <c r="C107" s="413" t="str">
        <f t="shared" si="8"/>
        <v>&gt;10-35</v>
      </c>
      <c r="D107" s="190" t="s">
        <v>2165</v>
      </c>
      <c r="E107" s="190">
        <v>250</v>
      </c>
      <c r="F107" s="190" t="s">
        <v>2163</v>
      </c>
      <c r="G107" s="270">
        <f>$G$9</f>
        <v>0</v>
      </c>
      <c r="H107" s="190" t="s">
        <v>828</v>
      </c>
      <c r="I107" s="267"/>
      <c r="J107" s="141"/>
      <c r="K107" s="141"/>
      <c r="L107" s="141"/>
      <c r="M107" s="268"/>
      <c r="N107" s="141"/>
      <c r="O107" s="141"/>
      <c r="P107" s="141"/>
      <c r="Q107" s="141"/>
      <c r="R107" s="264"/>
    </row>
    <row r="108" spans="2:18" x14ac:dyDescent="0.2">
      <c r="B108" s="136"/>
      <c r="C108" s="413" t="str">
        <f t="shared" si="8"/>
        <v>&gt;35-100</v>
      </c>
      <c r="D108" s="190" t="s">
        <v>2165</v>
      </c>
      <c r="E108" s="190">
        <v>250</v>
      </c>
      <c r="F108" s="190" t="s">
        <v>2163</v>
      </c>
      <c r="G108" s="270">
        <f>$G$10</f>
        <v>0</v>
      </c>
      <c r="H108" s="413" t="s">
        <v>828</v>
      </c>
      <c r="I108" s="271"/>
      <c r="J108" s="137"/>
      <c r="K108" s="141" t="s">
        <v>2704</v>
      </c>
      <c r="L108" s="141"/>
      <c r="M108" s="141"/>
      <c r="N108" s="141"/>
      <c r="O108" s="141"/>
      <c r="P108" s="141"/>
      <c r="Q108" s="141"/>
      <c r="R108" s="264"/>
    </row>
    <row r="109" spans="2:18" x14ac:dyDescent="0.2">
      <c r="B109" s="136"/>
      <c r="C109" s="190" t="str">
        <f>C97</f>
        <v>&gt;100</v>
      </c>
      <c r="D109" s="190" t="s">
        <v>2165</v>
      </c>
      <c r="E109" s="190">
        <v>200</v>
      </c>
      <c r="F109" s="190" t="s">
        <v>2163</v>
      </c>
      <c r="G109" s="270">
        <f>$G$11</f>
        <v>0</v>
      </c>
      <c r="H109" s="272" t="str">
        <f>$H$11</f>
        <v>-</v>
      </c>
      <c r="I109" s="273"/>
      <c r="J109" s="141"/>
      <c r="K109" s="531" t="s">
        <v>2709</v>
      </c>
      <c r="L109" s="532"/>
      <c r="M109" s="532"/>
      <c r="N109" s="532"/>
      <c r="O109" s="532"/>
      <c r="P109" s="533"/>
      <c r="Q109" s="141"/>
      <c r="R109" s="264"/>
    </row>
    <row r="110" spans="2:18" x14ac:dyDescent="0.2">
      <c r="B110" s="136"/>
      <c r="C110" s="274"/>
      <c r="D110" s="274"/>
      <c r="E110" s="274"/>
      <c r="F110" s="274"/>
      <c r="G110" s="275"/>
      <c r="H110" s="276"/>
      <c r="I110" s="273"/>
      <c r="J110" s="141"/>
      <c r="K110" s="141"/>
      <c r="L110" s="141"/>
      <c r="M110" s="165"/>
      <c r="N110" s="141"/>
      <c r="O110" s="141"/>
      <c r="P110" s="141"/>
      <c r="Q110" s="141"/>
      <c r="R110" s="264"/>
    </row>
    <row r="111" spans="2:18" x14ac:dyDescent="0.2">
      <c r="B111" s="277" t="s">
        <v>1642</v>
      </c>
      <c r="C111" s="141"/>
      <c r="D111" s="136"/>
      <c r="E111" s="136"/>
      <c r="F111" s="141"/>
      <c r="G111" s="141"/>
      <c r="H111" s="141"/>
      <c r="I111" s="180"/>
      <c r="J111" s="141"/>
      <c r="K111" s="141"/>
      <c r="L111" s="141"/>
      <c r="M111" s="165"/>
      <c r="N111" s="141"/>
      <c r="O111" s="141"/>
      <c r="P111" s="141"/>
      <c r="Q111" s="141"/>
      <c r="R111" s="264"/>
    </row>
    <row r="112" spans="2:18" x14ac:dyDescent="0.2">
      <c r="B112" s="141" t="str">
        <f>Eingabe!I219</f>
        <v>Landesförderung max. 30% der Investkosten 250€/kWp bis 100kWp, 200€/kWp von 100 bis 500kWp</v>
      </c>
      <c r="C112" s="141"/>
      <c r="D112" s="141"/>
      <c r="E112" s="141"/>
      <c r="F112" s="141"/>
      <c r="G112" s="141"/>
      <c r="H112" s="141"/>
      <c r="I112" s="180"/>
      <c r="J112" s="141"/>
      <c r="K112" s="141"/>
      <c r="L112" s="141"/>
      <c r="M112" s="165"/>
      <c r="N112" s="141"/>
      <c r="O112" s="141"/>
      <c r="P112" s="141"/>
      <c r="Q112" s="141"/>
      <c r="R112" s="264"/>
    </row>
    <row r="113" spans="2:43" x14ac:dyDescent="0.2">
      <c r="B113" s="136"/>
      <c r="C113" s="274"/>
      <c r="D113" s="274"/>
      <c r="E113" s="274"/>
      <c r="F113" s="274"/>
      <c r="G113" s="275"/>
      <c r="H113" s="276"/>
      <c r="I113" s="273"/>
      <c r="J113" s="141"/>
      <c r="K113" s="141"/>
      <c r="L113" s="141"/>
      <c r="M113" s="165"/>
      <c r="N113" s="141"/>
      <c r="O113" s="141"/>
      <c r="P113" s="141"/>
      <c r="Q113" s="141"/>
      <c r="R113" s="264"/>
    </row>
    <row r="115" spans="2:43" x14ac:dyDescent="0.2">
      <c r="B115" s="452" t="s">
        <v>2754</v>
      </c>
      <c r="C115" s="149"/>
      <c r="D115" s="149"/>
      <c r="E115" s="149"/>
      <c r="F115" s="149"/>
      <c r="G115" s="208"/>
      <c r="H115" s="208"/>
      <c r="I115" s="206"/>
      <c r="J115" s="401" t="s">
        <v>2755</v>
      </c>
      <c r="K115" s="141"/>
      <c r="L115" s="141"/>
      <c r="M115" s="165"/>
      <c r="N115" s="141"/>
      <c r="O115" s="141"/>
      <c r="P115" s="141"/>
      <c r="Q115" s="141"/>
    </row>
    <row r="116" spans="2:43" x14ac:dyDescent="0.2">
      <c r="B116" s="136"/>
      <c r="C116" s="536"/>
      <c r="D116" s="537"/>
      <c r="E116" s="537"/>
      <c r="F116" s="537"/>
      <c r="G116" s="537"/>
      <c r="H116" s="537"/>
      <c r="I116" s="180"/>
      <c r="J116" s="265"/>
      <c r="K116" s="141" t="s">
        <v>2756</v>
      </c>
      <c r="L116" s="141"/>
      <c r="M116" s="165"/>
      <c r="N116" s="141"/>
      <c r="O116" s="141"/>
      <c r="P116" s="141"/>
      <c r="Q116" s="141"/>
      <c r="R116" s="451"/>
      <c r="S116" s="451"/>
      <c r="T116" s="293"/>
      <c r="U116" s="293"/>
      <c r="V116" s="293"/>
      <c r="W116" s="293"/>
      <c r="X116" s="293"/>
      <c r="Y116" s="293"/>
      <c r="Z116" s="293"/>
      <c r="AA116" s="293"/>
      <c r="AB116" s="293"/>
      <c r="AC116" s="293"/>
      <c r="AD116" s="293"/>
      <c r="AE116" s="293"/>
      <c r="AF116" s="293"/>
      <c r="AG116" s="293"/>
      <c r="AH116" s="293"/>
      <c r="AI116" s="293"/>
      <c r="AJ116" s="293"/>
      <c r="AK116" s="293"/>
      <c r="AL116" s="293"/>
      <c r="AM116" s="293"/>
      <c r="AN116" s="293"/>
      <c r="AO116" s="293"/>
      <c r="AP116" s="293"/>
      <c r="AQ116" s="293"/>
    </row>
    <row r="117" spans="2:43" x14ac:dyDescent="0.2">
      <c r="B117" s="136"/>
      <c r="C117" s="490" t="s">
        <v>2779</v>
      </c>
      <c r="D117" s="491"/>
      <c r="E117" s="491"/>
      <c r="F117" s="491"/>
      <c r="G117" s="162"/>
      <c r="H117" s="162"/>
      <c r="I117" s="267"/>
      <c r="J117" s="141"/>
      <c r="K117" s="531" t="s">
        <v>2781</v>
      </c>
      <c r="L117" s="532"/>
      <c r="M117" s="532"/>
      <c r="N117" s="532"/>
      <c r="O117" s="532"/>
      <c r="P117" s="533"/>
      <c r="Q117" s="141"/>
      <c r="R117" s="451"/>
      <c r="S117" s="451"/>
      <c r="T117" s="293"/>
      <c r="U117" s="293"/>
      <c r="V117" s="293"/>
      <c r="W117" s="293"/>
      <c r="X117" s="293"/>
      <c r="Y117" s="293"/>
      <c r="Z117" s="293"/>
      <c r="AA117" s="293"/>
      <c r="AB117" s="293"/>
      <c r="AC117" s="293"/>
      <c r="AD117" s="293"/>
      <c r="AE117" s="293"/>
      <c r="AF117" s="293"/>
      <c r="AG117" s="293"/>
      <c r="AH117" s="293"/>
      <c r="AI117" s="293"/>
      <c r="AJ117" s="293"/>
      <c r="AK117" s="293"/>
      <c r="AL117" s="293"/>
      <c r="AM117" s="293"/>
      <c r="AN117" s="293"/>
      <c r="AO117" s="293"/>
      <c r="AP117" s="293"/>
      <c r="AQ117" s="293"/>
    </row>
    <row r="118" spans="2:43" x14ac:dyDescent="0.2">
      <c r="B118" s="136"/>
      <c r="C118" s="534" t="s">
        <v>2052</v>
      </c>
      <c r="D118" s="535"/>
      <c r="E118" s="195"/>
      <c r="F118" s="266"/>
      <c r="G118" s="455"/>
      <c r="H118" s="162"/>
      <c r="I118" s="267"/>
      <c r="J118" s="141"/>
      <c r="K118" s="141"/>
      <c r="L118" s="141"/>
      <c r="M118" s="141"/>
      <c r="N118" s="141"/>
      <c r="O118" s="141"/>
      <c r="P118" s="141"/>
      <c r="Q118" s="141"/>
      <c r="R118" s="451"/>
      <c r="S118" s="451"/>
      <c r="T118" s="293"/>
      <c r="U118" s="293"/>
      <c r="V118" s="293"/>
      <c r="W118" s="293"/>
      <c r="X118" s="293"/>
      <c r="Y118" s="293"/>
      <c r="Z118" s="293"/>
      <c r="AA118" s="293"/>
      <c r="AB118" s="293"/>
      <c r="AC118" s="293"/>
      <c r="AD118" s="293"/>
      <c r="AE118" s="293"/>
      <c r="AF118" s="293"/>
      <c r="AG118" s="293"/>
      <c r="AH118" s="293"/>
      <c r="AI118" s="293"/>
      <c r="AJ118" s="293"/>
      <c r="AK118" s="293"/>
      <c r="AL118" s="293"/>
      <c r="AM118" s="293"/>
      <c r="AN118" s="293"/>
      <c r="AO118" s="293"/>
      <c r="AP118" s="293"/>
      <c r="AQ118" s="293"/>
    </row>
    <row r="119" spans="2:43" x14ac:dyDescent="0.2">
      <c r="B119" s="136"/>
      <c r="C119" s="529" t="s">
        <v>2775</v>
      </c>
      <c r="D119" s="530"/>
      <c r="E119" s="458">
        <v>10</v>
      </c>
      <c r="F119" s="195" t="s">
        <v>2777</v>
      </c>
      <c r="G119" s="455"/>
      <c r="H119" s="162"/>
      <c r="I119" s="267"/>
      <c r="J119" s="141"/>
      <c r="K119" s="141"/>
      <c r="L119" s="141"/>
      <c r="M119" s="141"/>
      <c r="N119" s="141"/>
      <c r="O119" s="141"/>
      <c r="P119" s="141"/>
      <c r="Q119" s="141"/>
      <c r="R119" s="451"/>
      <c r="S119" s="451"/>
      <c r="T119" s="293"/>
      <c r="U119" s="293"/>
      <c r="V119" s="293"/>
      <c r="W119" s="293"/>
      <c r="X119" s="293"/>
      <c r="Y119" s="293"/>
      <c r="Z119" s="293"/>
      <c r="AA119" s="293"/>
      <c r="AB119" s="293"/>
      <c r="AC119" s="293"/>
      <c r="AD119" s="293"/>
      <c r="AE119" s="293"/>
      <c r="AF119" s="293"/>
      <c r="AG119" s="293"/>
      <c r="AH119" s="293"/>
      <c r="AI119" s="293"/>
      <c r="AJ119" s="293"/>
      <c r="AK119" s="293"/>
      <c r="AL119" s="293"/>
      <c r="AM119" s="293"/>
      <c r="AN119" s="293"/>
      <c r="AO119" s="293"/>
      <c r="AP119" s="293"/>
      <c r="AQ119" s="293"/>
    </row>
    <row r="120" spans="2:43" x14ac:dyDescent="0.2">
      <c r="B120" s="136"/>
      <c r="C120" s="529" t="s">
        <v>2763</v>
      </c>
      <c r="D120" s="530"/>
      <c r="E120" s="458">
        <v>10</v>
      </c>
      <c r="F120" s="195" t="s">
        <v>2777</v>
      </c>
      <c r="G120" s="455"/>
      <c r="H120" s="162"/>
      <c r="I120" s="267"/>
      <c r="J120" s="137"/>
      <c r="K120" s="141"/>
      <c r="L120" s="141"/>
      <c r="M120" s="141"/>
      <c r="N120" s="141"/>
      <c r="O120" s="141"/>
      <c r="P120" s="141"/>
      <c r="Q120" s="141"/>
      <c r="R120" s="451"/>
      <c r="S120" s="451"/>
      <c r="T120" s="293"/>
      <c r="U120" s="293"/>
      <c r="V120" s="293"/>
      <c r="W120" s="293"/>
      <c r="X120" s="293"/>
      <c r="Y120" s="293"/>
      <c r="Z120" s="293"/>
      <c r="AA120" s="293"/>
      <c r="AB120" s="293"/>
      <c r="AC120" s="293"/>
      <c r="AD120" s="293"/>
      <c r="AE120" s="293"/>
      <c r="AF120" s="293"/>
      <c r="AG120" s="293"/>
      <c r="AH120" s="293"/>
      <c r="AI120" s="293"/>
      <c r="AJ120" s="293"/>
      <c r="AK120" s="293"/>
      <c r="AL120" s="293"/>
      <c r="AM120" s="293"/>
      <c r="AN120" s="293"/>
      <c r="AO120" s="293"/>
      <c r="AP120" s="293"/>
      <c r="AQ120" s="293"/>
    </row>
    <row r="121" spans="2:43" x14ac:dyDescent="0.2">
      <c r="B121" s="136"/>
      <c r="C121" s="529" t="s">
        <v>2776</v>
      </c>
      <c r="D121" s="530"/>
      <c r="E121" s="458">
        <v>10</v>
      </c>
      <c r="F121" s="195" t="s">
        <v>2777</v>
      </c>
      <c r="G121" s="455"/>
      <c r="H121" s="162"/>
      <c r="I121" s="267"/>
      <c r="J121" s="141"/>
      <c r="K121" s="141"/>
      <c r="L121" s="141"/>
      <c r="M121" s="141"/>
      <c r="N121" s="141"/>
      <c r="O121" s="141"/>
      <c r="P121" s="141"/>
      <c r="Q121" s="141"/>
      <c r="R121" s="451"/>
      <c r="S121" s="451"/>
      <c r="T121" s="293"/>
      <c r="U121" s="293"/>
      <c r="V121" s="293"/>
      <c r="W121" s="293"/>
      <c r="X121" s="293"/>
      <c r="Y121" s="293"/>
      <c r="Z121" s="293"/>
      <c r="AA121" s="293"/>
      <c r="AB121" s="293"/>
      <c r="AC121" s="293"/>
      <c r="AD121" s="293"/>
      <c r="AE121" s="293"/>
      <c r="AF121" s="293"/>
      <c r="AG121" s="293"/>
      <c r="AH121" s="293"/>
      <c r="AI121" s="293"/>
      <c r="AJ121" s="293"/>
      <c r="AK121" s="293"/>
      <c r="AL121" s="293"/>
      <c r="AM121" s="293"/>
      <c r="AN121" s="293"/>
      <c r="AO121" s="293"/>
      <c r="AP121" s="293"/>
      <c r="AQ121" s="293"/>
    </row>
    <row r="122" spans="2:43" x14ac:dyDescent="0.2">
      <c r="B122" s="136"/>
      <c r="C122" s="274"/>
      <c r="D122" s="274"/>
      <c r="E122" s="274"/>
      <c r="F122" s="274"/>
      <c r="G122" s="275"/>
      <c r="H122" s="162"/>
      <c r="I122" s="267"/>
      <c r="J122" s="141"/>
      <c r="K122" s="141"/>
      <c r="L122" s="141"/>
      <c r="M122" s="165"/>
      <c r="N122" s="141"/>
      <c r="O122" s="141"/>
      <c r="P122" s="141"/>
      <c r="Q122" s="141"/>
      <c r="R122" s="451"/>
      <c r="S122" s="451"/>
      <c r="T122" s="293"/>
      <c r="U122" s="293"/>
      <c r="V122" s="293"/>
      <c r="W122" s="293"/>
      <c r="X122" s="293"/>
      <c r="Y122" s="293"/>
      <c r="Z122" s="293"/>
      <c r="AA122" s="293"/>
      <c r="AB122" s="293"/>
      <c r="AC122" s="293"/>
      <c r="AD122" s="293"/>
      <c r="AE122" s="293"/>
      <c r="AF122" s="293"/>
      <c r="AG122" s="293"/>
      <c r="AH122" s="293"/>
      <c r="AI122" s="293"/>
      <c r="AJ122" s="293"/>
      <c r="AK122" s="293"/>
      <c r="AL122" s="293"/>
      <c r="AM122" s="293"/>
      <c r="AN122" s="293"/>
      <c r="AO122" s="293"/>
      <c r="AP122" s="293"/>
      <c r="AQ122" s="293"/>
    </row>
    <row r="123" spans="2:43" x14ac:dyDescent="0.2">
      <c r="B123" s="277" t="s">
        <v>1642</v>
      </c>
      <c r="C123" s="141"/>
      <c r="D123" s="136"/>
      <c r="E123" s="136"/>
      <c r="F123" s="141"/>
      <c r="G123" s="141"/>
      <c r="H123" s="141"/>
      <c r="I123" s="180"/>
      <c r="J123" s="141"/>
      <c r="K123" s="141"/>
      <c r="L123" s="141"/>
      <c r="M123" s="165"/>
      <c r="N123" s="141"/>
      <c r="O123" s="141"/>
      <c r="P123" s="141"/>
      <c r="Q123" s="141"/>
      <c r="R123" s="451"/>
      <c r="S123" s="451"/>
      <c r="T123" s="293"/>
      <c r="U123" s="293"/>
      <c r="V123" s="293"/>
      <c r="W123" s="293"/>
      <c r="X123" s="293"/>
      <c r="Y123" s="293"/>
      <c r="Z123" s="293"/>
      <c r="AA123" s="293"/>
      <c r="AB123" s="293"/>
      <c r="AC123" s="293"/>
      <c r="AD123" s="293"/>
      <c r="AE123" s="293"/>
      <c r="AF123" s="293"/>
      <c r="AG123" s="293"/>
      <c r="AH123" s="293"/>
      <c r="AI123" s="293"/>
      <c r="AJ123" s="293"/>
      <c r="AK123" s="293"/>
      <c r="AL123" s="293"/>
      <c r="AM123" s="293"/>
      <c r="AN123" s="293"/>
      <c r="AO123" s="293"/>
      <c r="AP123" s="293"/>
      <c r="AQ123" s="293"/>
    </row>
    <row r="124" spans="2:43" x14ac:dyDescent="0.2">
      <c r="B124" s="141" t="str">
        <f>Eingabe!Y198</f>
        <v>Förderbar ab 23.Juni 2025. Auflistung der qualifizierten Produkte im Link rechts.</v>
      </c>
      <c r="C124" s="141"/>
      <c r="D124" s="141"/>
      <c r="E124" s="141"/>
      <c r="F124" s="141"/>
      <c r="G124" s="141"/>
      <c r="H124" s="141"/>
      <c r="I124" s="180"/>
      <c r="J124" s="141"/>
      <c r="K124" s="141"/>
      <c r="L124" s="141"/>
      <c r="M124" s="165"/>
      <c r="N124" s="141"/>
      <c r="O124" s="141"/>
      <c r="P124" s="141"/>
      <c r="Q124" s="141"/>
      <c r="R124" s="451"/>
      <c r="S124" s="451"/>
      <c r="T124" s="293"/>
      <c r="U124" s="293"/>
      <c r="V124" s="293"/>
      <c r="W124" s="293"/>
      <c r="X124" s="293"/>
      <c r="Y124" s="293"/>
      <c r="Z124" s="293"/>
      <c r="AA124" s="293"/>
      <c r="AB124" s="293"/>
      <c r="AC124" s="293"/>
      <c r="AD124" s="293"/>
      <c r="AE124" s="293"/>
      <c r="AF124" s="293"/>
      <c r="AG124" s="293"/>
      <c r="AH124" s="293"/>
      <c r="AI124" s="293"/>
      <c r="AJ124" s="293"/>
      <c r="AK124" s="293"/>
      <c r="AL124" s="293"/>
      <c r="AM124" s="293"/>
      <c r="AN124" s="293"/>
      <c r="AO124" s="293"/>
      <c r="AP124" s="293"/>
      <c r="AQ124" s="293"/>
    </row>
    <row r="125" spans="2:43" x14ac:dyDescent="0.2">
      <c r="B125" s="489"/>
      <c r="C125" s="274"/>
      <c r="D125" s="274"/>
      <c r="E125" s="274"/>
      <c r="F125" s="274"/>
      <c r="G125" s="275"/>
      <c r="H125" s="276"/>
      <c r="I125" s="273"/>
      <c r="J125" s="141"/>
      <c r="K125" s="141"/>
      <c r="L125" s="141"/>
      <c r="M125" s="165"/>
      <c r="N125" s="141"/>
      <c r="O125" s="141"/>
      <c r="P125" s="141"/>
      <c r="Q125" s="141"/>
      <c r="R125" s="451"/>
      <c r="S125" s="451"/>
      <c r="T125" s="293"/>
      <c r="U125" s="293"/>
      <c r="V125" s="293"/>
      <c r="W125" s="293"/>
      <c r="X125" s="293"/>
      <c r="Y125" s="293"/>
      <c r="Z125" s="293"/>
      <c r="AA125" s="293"/>
      <c r="AB125" s="293"/>
      <c r="AC125" s="293"/>
      <c r="AD125" s="293"/>
      <c r="AE125" s="293"/>
      <c r="AF125" s="293"/>
      <c r="AG125" s="293"/>
      <c r="AH125" s="293"/>
      <c r="AI125" s="293"/>
      <c r="AJ125" s="293"/>
      <c r="AK125" s="293"/>
      <c r="AL125" s="293"/>
      <c r="AM125" s="293"/>
      <c r="AN125" s="293"/>
      <c r="AO125" s="293"/>
      <c r="AP125" s="293"/>
      <c r="AQ125" s="293"/>
    </row>
    <row r="126" spans="2:43" x14ac:dyDescent="0.2">
      <c r="B126" s="293"/>
      <c r="C126" s="293"/>
      <c r="D126" s="293"/>
      <c r="E126" s="293"/>
      <c r="F126" s="293"/>
      <c r="G126" s="293"/>
      <c r="H126" s="293"/>
      <c r="I126" s="293"/>
      <c r="J126" s="293"/>
      <c r="K126" s="293"/>
      <c r="L126" s="293"/>
      <c r="M126" s="450"/>
      <c r="N126" s="293"/>
      <c r="O126" s="293"/>
      <c r="P126" s="293"/>
      <c r="Q126" s="293"/>
      <c r="R126" s="451"/>
      <c r="S126" s="451"/>
      <c r="T126" s="293"/>
      <c r="U126" s="293"/>
      <c r="V126" s="293"/>
      <c r="W126" s="293"/>
      <c r="X126" s="293"/>
      <c r="Y126" s="293"/>
      <c r="Z126" s="293"/>
      <c r="AA126" s="293"/>
      <c r="AB126" s="293"/>
      <c r="AC126" s="293"/>
      <c r="AD126" s="293"/>
      <c r="AE126" s="293"/>
      <c r="AF126" s="293"/>
      <c r="AG126" s="293"/>
      <c r="AH126" s="293"/>
      <c r="AI126" s="293"/>
      <c r="AJ126" s="293"/>
      <c r="AK126" s="293"/>
      <c r="AL126" s="293"/>
      <c r="AM126" s="293"/>
      <c r="AN126" s="293"/>
      <c r="AO126" s="293"/>
      <c r="AP126" s="293"/>
      <c r="AQ126" s="293"/>
    </row>
    <row r="127" spans="2:43" x14ac:dyDescent="0.2">
      <c r="B127" s="293"/>
      <c r="C127" s="293"/>
      <c r="D127" s="293"/>
      <c r="E127" s="293"/>
      <c r="F127" s="293"/>
      <c r="G127" s="293"/>
      <c r="H127" s="293"/>
      <c r="I127" s="293"/>
      <c r="J127" s="293"/>
      <c r="K127" s="293"/>
      <c r="L127" s="293"/>
      <c r="M127" s="450"/>
      <c r="N127" s="293"/>
      <c r="O127" s="293"/>
      <c r="P127" s="293"/>
      <c r="Q127" s="293"/>
      <c r="R127" s="451"/>
      <c r="S127" s="451"/>
      <c r="T127" s="293"/>
      <c r="U127" s="293"/>
      <c r="V127" s="293"/>
      <c r="W127" s="293"/>
      <c r="X127" s="293"/>
      <c r="Y127" s="293"/>
      <c r="Z127" s="293"/>
      <c r="AA127" s="293"/>
      <c r="AB127" s="293"/>
      <c r="AC127" s="293"/>
      <c r="AD127" s="293"/>
      <c r="AE127" s="293"/>
      <c r="AF127" s="293"/>
      <c r="AG127" s="293"/>
      <c r="AH127" s="293"/>
      <c r="AI127" s="293"/>
      <c r="AJ127" s="293"/>
      <c r="AK127" s="293"/>
      <c r="AL127" s="293"/>
      <c r="AM127" s="293"/>
      <c r="AN127" s="293"/>
      <c r="AO127" s="293"/>
      <c r="AP127" s="293"/>
      <c r="AQ127" s="293"/>
    </row>
    <row r="128" spans="2:43" x14ac:dyDescent="0.2">
      <c r="B128" s="293"/>
      <c r="C128" s="293"/>
      <c r="D128" s="293"/>
      <c r="E128" s="293"/>
      <c r="F128" s="293"/>
      <c r="G128" s="293"/>
      <c r="H128" s="293"/>
      <c r="I128" s="293"/>
      <c r="J128" s="293"/>
      <c r="K128" s="293"/>
      <c r="L128" s="293"/>
      <c r="M128" s="450"/>
      <c r="N128" s="293"/>
      <c r="O128" s="293"/>
      <c r="P128" s="293"/>
      <c r="Q128" s="293"/>
      <c r="R128" s="451"/>
      <c r="S128" s="451"/>
      <c r="T128" s="293"/>
      <c r="U128" s="293"/>
      <c r="V128" s="293"/>
      <c r="W128" s="293"/>
      <c r="X128" s="293"/>
      <c r="Y128" s="293"/>
      <c r="Z128" s="293"/>
      <c r="AA128" s="293"/>
      <c r="AB128" s="293"/>
      <c r="AC128" s="293"/>
      <c r="AD128" s="293"/>
      <c r="AE128" s="293"/>
      <c r="AF128" s="293"/>
      <c r="AG128" s="293"/>
      <c r="AH128" s="293"/>
      <c r="AI128" s="293"/>
      <c r="AJ128" s="293"/>
      <c r="AK128" s="293"/>
      <c r="AL128" s="293"/>
      <c r="AM128" s="293"/>
      <c r="AN128" s="293"/>
      <c r="AO128" s="293"/>
      <c r="AP128" s="293"/>
      <c r="AQ128" s="293"/>
    </row>
    <row r="129" spans="2:43" x14ac:dyDescent="0.2">
      <c r="B129" s="293"/>
      <c r="C129" s="293"/>
      <c r="D129" s="293"/>
      <c r="E129" s="293"/>
      <c r="F129" s="293"/>
      <c r="G129" s="293"/>
      <c r="H129" s="293"/>
      <c r="I129" s="293"/>
      <c r="J129" s="293"/>
      <c r="K129" s="293"/>
      <c r="L129" s="293"/>
      <c r="M129" s="450"/>
      <c r="N129" s="293"/>
      <c r="O129" s="293"/>
      <c r="P129" s="293"/>
      <c r="Q129" s="293"/>
      <c r="R129" s="451"/>
      <c r="S129" s="451"/>
      <c r="T129" s="293"/>
      <c r="U129" s="293"/>
      <c r="V129" s="293"/>
      <c r="W129" s="293"/>
      <c r="X129" s="293"/>
      <c r="Y129" s="293"/>
      <c r="Z129" s="293"/>
      <c r="AA129" s="293"/>
      <c r="AB129" s="293"/>
      <c r="AC129" s="293"/>
      <c r="AD129" s="293"/>
      <c r="AE129" s="293"/>
      <c r="AF129" s="293"/>
      <c r="AG129" s="293"/>
      <c r="AH129" s="293"/>
      <c r="AI129" s="293"/>
      <c r="AJ129" s="293"/>
      <c r="AK129" s="293"/>
      <c r="AL129" s="293"/>
      <c r="AM129" s="293"/>
      <c r="AN129" s="293"/>
      <c r="AO129" s="293"/>
      <c r="AP129" s="293"/>
      <c r="AQ129" s="293"/>
    </row>
    <row r="130" spans="2:43" x14ac:dyDescent="0.2">
      <c r="B130" s="293"/>
      <c r="C130" s="293"/>
      <c r="D130" s="293"/>
      <c r="E130" s="293"/>
      <c r="F130" s="293"/>
      <c r="G130" s="293"/>
      <c r="H130" s="293"/>
      <c r="I130" s="293"/>
      <c r="J130" s="293"/>
      <c r="K130" s="293"/>
      <c r="L130" s="293"/>
      <c r="M130" s="450"/>
      <c r="N130" s="293"/>
      <c r="O130" s="293"/>
      <c r="P130" s="293"/>
      <c r="Q130" s="293"/>
      <c r="R130" s="451"/>
      <c r="S130" s="451"/>
      <c r="T130" s="293"/>
      <c r="U130" s="293"/>
      <c r="V130" s="293"/>
      <c r="W130" s="293"/>
      <c r="X130" s="293"/>
      <c r="Y130" s="293"/>
      <c r="Z130" s="293"/>
      <c r="AA130" s="293"/>
      <c r="AB130" s="293"/>
      <c r="AC130" s="293"/>
      <c r="AD130" s="293"/>
      <c r="AE130" s="293"/>
      <c r="AF130" s="293"/>
      <c r="AG130" s="293"/>
      <c r="AH130" s="293"/>
      <c r="AI130" s="293"/>
      <c r="AJ130" s="293"/>
      <c r="AK130" s="293"/>
      <c r="AL130" s="293"/>
      <c r="AM130" s="293"/>
      <c r="AN130" s="293"/>
      <c r="AO130" s="293"/>
      <c r="AP130" s="293"/>
      <c r="AQ130" s="293"/>
    </row>
    <row r="131" spans="2:43" x14ac:dyDescent="0.2">
      <c r="B131" s="293"/>
      <c r="C131" s="293"/>
      <c r="D131" s="293"/>
      <c r="E131" s="293"/>
      <c r="F131" s="293"/>
      <c r="G131" s="293"/>
      <c r="H131" s="293"/>
      <c r="I131" s="293"/>
      <c r="J131" s="293"/>
      <c r="K131" s="293"/>
      <c r="L131" s="293"/>
      <c r="M131" s="450"/>
      <c r="N131" s="293"/>
      <c r="O131" s="293"/>
      <c r="P131" s="293"/>
      <c r="Q131" s="293"/>
      <c r="R131" s="451"/>
      <c r="S131" s="451"/>
      <c r="T131" s="293"/>
      <c r="U131" s="293"/>
      <c r="V131" s="293"/>
      <c r="W131" s="293"/>
      <c r="X131" s="293"/>
      <c r="Y131" s="293"/>
      <c r="Z131" s="293"/>
      <c r="AA131" s="293"/>
      <c r="AB131" s="293"/>
      <c r="AC131" s="293"/>
      <c r="AD131" s="293"/>
      <c r="AE131" s="293"/>
      <c r="AF131" s="293"/>
      <c r="AG131" s="293"/>
      <c r="AH131" s="293"/>
      <c r="AI131" s="293"/>
      <c r="AJ131" s="293"/>
      <c r="AK131" s="293"/>
      <c r="AL131" s="293"/>
      <c r="AM131" s="293"/>
      <c r="AN131" s="293"/>
      <c r="AO131" s="293"/>
      <c r="AP131" s="293"/>
      <c r="AQ131" s="293"/>
    </row>
    <row r="132" spans="2:43" x14ac:dyDescent="0.2">
      <c r="B132" s="293"/>
      <c r="C132" s="293"/>
      <c r="D132" s="293"/>
      <c r="E132" s="293"/>
      <c r="F132" s="293"/>
      <c r="G132" s="293"/>
      <c r="H132" s="293"/>
      <c r="I132" s="293"/>
      <c r="J132" s="293"/>
      <c r="K132" s="293"/>
      <c r="L132" s="293"/>
      <c r="M132" s="450"/>
      <c r="N132" s="293"/>
      <c r="O132" s="293"/>
      <c r="P132" s="293"/>
      <c r="Q132" s="293"/>
      <c r="R132" s="451"/>
      <c r="S132" s="451"/>
      <c r="T132" s="293"/>
      <c r="U132" s="293"/>
      <c r="V132" s="293"/>
      <c r="W132" s="293"/>
      <c r="X132" s="293"/>
      <c r="Y132" s="293"/>
      <c r="Z132" s="293"/>
      <c r="AA132" s="293"/>
      <c r="AB132" s="293"/>
      <c r="AC132" s="293"/>
      <c r="AD132" s="293"/>
      <c r="AE132" s="293"/>
      <c r="AF132" s="293"/>
      <c r="AG132" s="293"/>
      <c r="AH132" s="293"/>
      <c r="AI132" s="293"/>
      <c r="AJ132" s="293"/>
      <c r="AK132" s="293"/>
      <c r="AL132" s="293"/>
      <c r="AM132" s="293"/>
      <c r="AN132" s="293"/>
      <c r="AO132" s="293"/>
      <c r="AP132" s="293"/>
      <c r="AQ132" s="293"/>
    </row>
    <row r="133" spans="2:43" x14ac:dyDescent="0.2">
      <c r="B133" s="293"/>
      <c r="C133" s="293"/>
      <c r="D133" s="293"/>
      <c r="E133" s="293"/>
      <c r="F133" s="293"/>
      <c r="G133" s="293"/>
      <c r="H133" s="293"/>
      <c r="I133" s="293"/>
      <c r="J133" s="293"/>
      <c r="K133" s="293"/>
      <c r="L133" s="293"/>
      <c r="M133" s="450"/>
      <c r="N133" s="293"/>
      <c r="O133" s="293"/>
      <c r="P133" s="293"/>
      <c r="Q133" s="293"/>
      <c r="R133" s="451"/>
      <c r="S133" s="451"/>
      <c r="T133" s="293"/>
      <c r="U133" s="293"/>
      <c r="V133" s="293"/>
      <c r="W133" s="293"/>
      <c r="X133" s="293"/>
      <c r="Y133" s="293"/>
      <c r="Z133" s="293"/>
      <c r="AA133" s="293"/>
      <c r="AB133" s="293"/>
      <c r="AC133" s="293"/>
      <c r="AD133" s="293"/>
      <c r="AE133" s="293"/>
      <c r="AF133" s="293"/>
      <c r="AG133" s="293"/>
      <c r="AH133" s="293"/>
      <c r="AI133" s="293"/>
      <c r="AJ133" s="293"/>
      <c r="AK133" s="293"/>
      <c r="AL133" s="293"/>
      <c r="AM133" s="293"/>
      <c r="AN133" s="293"/>
      <c r="AO133" s="293"/>
      <c r="AP133" s="293"/>
      <c r="AQ133" s="293"/>
    </row>
    <row r="134" spans="2:43" x14ac:dyDescent="0.2">
      <c r="B134" s="293"/>
      <c r="C134" s="293"/>
      <c r="D134" s="293"/>
      <c r="E134" s="293"/>
      <c r="F134" s="293"/>
      <c r="G134" s="293"/>
      <c r="H134" s="293"/>
      <c r="I134" s="293"/>
      <c r="J134" s="293"/>
      <c r="K134" s="293"/>
      <c r="L134" s="293"/>
      <c r="M134" s="450"/>
      <c r="N134" s="293"/>
      <c r="O134" s="293"/>
      <c r="P134" s="293"/>
      <c r="Q134" s="293"/>
      <c r="R134" s="451"/>
      <c r="S134" s="451"/>
      <c r="T134" s="293"/>
      <c r="U134" s="293"/>
      <c r="V134" s="293"/>
      <c r="W134" s="293"/>
      <c r="X134" s="293"/>
      <c r="Y134" s="293"/>
      <c r="Z134" s="293"/>
      <c r="AA134" s="293"/>
      <c r="AB134" s="293"/>
      <c r="AC134" s="293"/>
      <c r="AD134" s="293"/>
      <c r="AE134" s="293"/>
      <c r="AF134" s="293"/>
      <c r="AG134" s="293"/>
      <c r="AH134" s="293"/>
      <c r="AI134" s="293"/>
      <c r="AJ134" s="293"/>
      <c r="AK134" s="293"/>
      <c r="AL134" s="293"/>
      <c r="AM134" s="293"/>
      <c r="AN134" s="293"/>
      <c r="AO134" s="293"/>
      <c r="AP134" s="293"/>
      <c r="AQ134" s="293"/>
    </row>
    <row r="135" spans="2:43" x14ac:dyDescent="0.2">
      <c r="B135" s="293"/>
      <c r="C135" s="293"/>
      <c r="D135" s="293"/>
      <c r="E135" s="293"/>
      <c r="F135" s="293"/>
      <c r="G135" s="293"/>
      <c r="H135" s="293"/>
      <c r="I135" s="293"/>
      <c r="J135" s="293"/>
      <c r="K135" s="293"/>
      <c r="L135" s="293"/>
      <c r="M135" s="450"/>
      <c r="N135" s="293"/>
      <c r="O135" s="293"/>
      <c r="P135" s="293"/>
      <c r="Q135" s="293"/>
      <c r="R135" s="451"/>
      <c r="S135" s="451"/>
      <c r="T135" s="293"/>
      <c r="U135" s="293"/>
      <c r="V135" s="293"/>
      <c r="W135" s="293"/>
      <c r="X135" s="293"/>
      <c r="Y135" s="293"/>
      <c r="Z135" s="293"/>
      <c r="AA135" s="293"/>
      <c r="AB135" s="293"/>
      <c r="AC135" s="293"/>
      <c r="AD135" s="293"/>
      <c r="AE135" s="293"/>
      <c r="AF135" s="293"/>
      <c r="AG135" s="293"/>
      <c r="AH135" s="293"/>
      <c r="AI135" s="293"/>
      <c r="AJ135" s="293"/>
      <c r="AK135" s="293"/>
      <c r="AL135" s="293"/>
      <c r="AM135" s="293"/>
      <c r="AN135" s="293"/>
      <c r="AO135" s="293"/>
      <c r="AP135" s="293"/>
      <c r="AQ135" s="293"/>
    </row>
    <row r="136" spans="2:43" x14ac:dyDescent="0.2">
      <c r="B136" s="293"/>
      <c r="C136" s="293"/>
      <c r="D136" s="293"/>
      <c r="E136" s="293"/>
      <c r="F136" s="293"/>
      <c r="G136" s="293"/>
      <c r="H136" s="293"/>
      <c r="I136" s="293"/>
      <c r="J136" s="293"/>
      <c r="K136" s="293"/>
      <c r="L136" s="293"/>
      <c r="M136" s="450"/>
      <c r="N136" s="293"/>
      <c r="O136" s="293"/>
      <c r="P136" s="293"/>
      <c r="Q136" s="293"/>
      <c r="R136" s="451"/>
      <c r="S136" s="451"/>
      <c r="T136" s="293"/>
      <c r="U136" s="293"/>
      <c r="V136" s="293"/>
      <c r="W136" s="293"/>
      <c r="X136" s="293"/>
      <c r="Y136" s="293"/>
      <c r="Z136" s="293"/>
      <c r="AA136" s="293"/>
      <c r="AB136" s="293"/>
      <c r="AC136" s="293"/>
      <c r="AD136" s="293"/>
      <c r="AE136" s="293"/>
      <c r="AF136" s="293"/>
      <c r="AG136" s="293"/>
      <c r="AH136" s="293"/>
      <c r="AI136" s="293"/>
      <c r="AJ136" s="293"/>
      <c r="AK136" s="293"/>
      <c r="AL136" s="293"/>
      <c r="AM136" s="293"/>
      <c r="AN136" s="293"/>
      <c r="AO136" s="293"/>
      <c r="AP136" s="293"/>
      <c r="AQ136" s="293"/>
    </row>
    <row r="137" spans="2:43" x14ac:dyDescent="0.2">
      <c r="B137" s="293"/>
      <c r="C137" s="293"/>
      <c r="D137" s="293"/>
      <c r="E137" s="293"/>
      <c r="F137" s="293"/>
      <c r="G137" s="293"/>
      <c r="H137" s="293"/>
      <c r="I137" s="293"/>
      <c r="J137" s="293"/>
      <c r="K137" s="293"/>
      <c r="L137" s="293"/>
      <c r="M137" s="450"/>
      <c r="N137" s="293"/>
      <c r="O137" s="293"/>
      <c r="P137" s="293"/>
      <c r="Q137" s="293"/>
      <c r="R137" s="451"/>
      <c r="S137" s="451"/>
      <c r="T137" s="293"/>
      <c r="U137" s="293"/>
      <c r="V137" s="293"/>
      <c r="W137" s="293"/>
      <c r="X137" s="293"/>
      <c r="Y137" s="293"/>
      <c r="Z137" s="293"/>
      <c r="AA137" s="293"/>
      <c r="AB137" s="293"/>
      <c r="AC137" s="293"/>
      <c r="AD137" s="293"/>
      <c r="AE137" s="293"/>
      <c r="AF137" s="293"/>
      <c r="AG137" s="293"/>
      <c r="AH137" s="293"/>
      <c r="AI137" s="293"/>
      <c r="AJ137" s="293"/>
      <c r="AK137" s="293"/>
      <c r="AL137" s="293"/>
      <c r="AM137" s="293"/>
      <c r="AN137" s="293"/>
      <c r="AO137" s="293"/>
      <c r="AP137" s="293"/>
      <c r="AQ137" s="293"/>
    </row>
    <row r="138" spans="2:43" x14ac:dyDescent="0.2">
      <c r="B138" s="293"/>
      <c r="C138" s="293"/>
      <c r="D138" s="293"/>
      <c r="E138" s="293"/>
      <c r="F138" s="293"/>
      <c r="G138" s="293"/>
      <c r="H138" s="293"/>
      <c r="I138" s="293"/>
      <c r="J138" s="293"/>
      <c r="K138" s="293"/>
      <c r="L138" s="293"/>
      <c r="M138" s="450"/>
      <c r="N138" s="293"/>
      <c r="O138" s="293"/>
      <c r="P138" s="293"/>
      <c r="Q138" s="293"/>
      <c r="R138" s="451"/>
      <c r="S138" s="451"/>
      <c r="T138" s="293"/>
      <c r="U138" s="293"/>
      <c r="V138" s="293"/>
      <c r="W138" s="293"/>
      <c r="X138" s="293"/>
      <c r="Y138" s="293"/>
      <c r="Z138" s="293"/>
      <c r="AA138" s="293"/>
      <c r="AB138" s="293"/>
      <c r="AC138" s="293"/>
      <c r="AD138" s="293"/>
      <c r="AE138" s="293"/>
      <c r="AF138" s="293"/>
      <c r="AG138" s="293"/>
      <c r="AH138" s="293"/>
      <c r="AI138" s="293"/>
      <c r="AJ138" s="293"/>
      <c r="AK138" s="293"/>
      <c r="AL138" s="293"/>
      <c r="AM138" s="293"/>
      <c r="AN138" s="293"/>
      <c r="AO138" s="293"/>
      <c r="AP138" s="293"/>
      <c r="AQ138" s="293"/>
    </row>
    <row r="139" spans="2:43" x14ac:dyDescent="0.2">
      <c r="B139" s="293"/>
      <c r="C139" s="293"/>
      <c r="D139" s="293"/>
      <c r="E139" s="293"/>
      <c r="F139" s="293"/>
      <c r="G139" s="293"/>
      <c r="H139" s="293"/>
      <c r="I139" s="293"/>
      <c r="J139" s="293"/>
      <c r="K139" s="293"/>
      <c r="L139" s="293"/>
      <c r="M139" s="450"/>
      <c r="N139" s="293"/>
      <c r="O139" s="293"/>
      <c r="P139" s="293"/>
      <c r="Q139" s="293"/>
      <c r="R139" s="451"/>
      <c r="S139" s="451"/>
      <c r="T139" s="293"/>
      <c r="U139" s="293"/>
      <c r="V139" s="293"/>
      <c r="W139" s="293"/>
      <c r="X139" s="293"/>
      <c r="Y139" s="293"/>
      <c r="Z139" s="293"/>
      <c r="AA139" s="293"/>
      <c r="AB139" s="293"/>
      <c r="AC139" s="293"/>
      <c r="AD139" s="293"/>
      <c r="AE139" s="293"/>
      <c r="AF139" s="293"/>
      <c r="AG139" s="293"/>
      <c r="AH139" s="293"/>
      <c r="AI139" s="293"/>
      <c r="AJ139" s="293"/>
      <c r="AK139" s="293"/>
      <c r="AL139" s="293"/>
      <c r="AM139" s="293"/>
      <c r="AN139" s="293"/>
      <c r="AO139" s="293"/>
      <c r="AP139" s="293"/>
      <c r="AQ139" s="293"/>
    </row>
    <row r="140" spans="2:43" x14ac:dyDescent="0.2">
      <c r="B140" s="293"/>
      <c r="C140" s="293"/>
      <c r="D140" s="293"/>
      <c r="E140" s="293"/>
      <c r="F140" s="293"/>
      <c r="G140" s="293"/>
      <c r="H140" s="293"/>
      <c r="I140" s="293"/>
      <c r="J140" s="293"/>
      <c r="K140" s="293"/>
      <c r="L140" s="293"/>
      <c r="M140" s="450"/>
      <c r="N140" s="293"/>
      <c r="O140" s="293"/>
      <c r="P140" s="293"/>
      <c r="Q140" s="293"/>
      <c r="R140" s="451"/>
      <c r="S140" s="451"/>
      <c r="T140" s="293"/>
      <c r="U140" s="293"/>
      <c r="V140" s="293"/>
      <c r="W140" s="293"/>
      <c r="X140" s="293"/>
      <c r="Y140" s="293"/>
      <c r="Z140" s="293"/>
      <c r="AA140" s="293"/>
      <c r="AB140" s="293"/>
      <c r="AC140" s="293"/>
      <c r="AD140" s="293"/>
      <c r="AE140" s="293"/>
      <c r="AF140" s="293"/>
      <c r="AG140" s="293"/>
      <c r="AH140" s="293"/>
      <c r="AI140" s="293"/>
      <c r="AJ140" s="293"/>
      <c r="AK140" s="293"/>
      <c r="AL140" s="293"/>
      <c r="AM140" s="293"/>
      <c r="AN140" s="293"/>
      <c r="AO140" s="293"/>
      <c r="AP140" s="293"/>
      <c r="AQ140" s="293"/>
    </row>
    <row r="141" spans="2:43" x14ac:dyDescent="0.2">
      <c r="B141" s="293"/>
      <c r="C141" s="293"/>
      <c r="D141" s="293"/>
      <c r="E141" s="293"/>
      <c r="F141" s="293"/>
      <c r="G141" s="293"/>
      <c r="H141" s="293"/>
      <c r="I141" s="293"/>
      <c r="J141" s="293"/>
      <c r="K141" s="293"/>
      <c r="L141" s="293"/>
      <c r="M141" s="450"/>
      <c r="N141" s="293"/>
      <c r="O141" s="293"/>
      <c r="P141" s="293"/>
      <c r="Q141" s="293"/>
      <c r="R141" s="451"/>
      <c r="S141" s="451"/>
      <c r="T141" s="293"/>
      <c r="U141" s="293"/>
      <c r="V141" s="293"/>
      <c r="W141" s="293"/>
      <c r="X141" s="293"/>
      <c r="Y141" s="293"/>
      <c r="Z141" s="293"/>
      <c r="AA141" s="293"/>
      <c r="AB141" s="293"/>
      <c r="AC141" s="293"/>
      <c r="AD141" s="293"/>
      <c r="AE141" s="293"/>
      <c r="AF141" s="293"/>
      <c r="AG141" s="293"/>
      <c r="AH141" s="293"/>
      <c r="AI141" s="293"/>
      <c r="AJ141" s="293"/>
      <c r="AK141" s="293"/>
      <c r="AL141" s="293"/>
      <c r="AM141" s="293"/>
      <c r="AN141" s="293"/>
      <c r="AO141" s="293"/>
      <c r="AP141" s="293"/>
      <c r="AQ141" s="293"/>
    </row>
    <row r="142" spans="2:43" x14ac:dyDescent="0.2">
      <c r="B142" s="293"/>
      <c r="C142" s="293"/>
      <c r="D142" s="293"/>
      <c r="E142" s="293"/>
      <c r="F142" s="293"/>
      <c r="G142" s="293"/>
      <c r="H142" s="293"/>
      <c r="I142" s="293"/>
      <c r="J142" s="293"/>
      <c r="K142" s="293"/>
      <c r="L142" s="293"/>
      <c r="M142" s="450"/>
      <c r="N142" s="293"/>
      <c r="O142" s="293"/>
      <c r="P142" s="293"/>
      <c r="Q142" s="293"/>
      <c r="R142" s="451"/>
      <c r="S142" s="451"/>
      <c r="T142" s="293"/>
      <c r="U142" s="293"/>
      <c r="V142" s="293"/>
      <c r="W142" s="293"/>
      <c r="X142" s="293"/>
      <c r="Y142" s="293"/>
      <c r="Z142" s="293"/>
      <c r="AA142" s="293"/>
      <c r="AB142" s="293"/>
      <c r="AC142" s="293"/>
      <c r="AD142" s="293"/>
      <c r="AE142" s="293"/>
      <c r="AF142" s="293"/>
      <c r="AG142" s="293"/>
      <c r="AH142" s="293"/>
      <c r="AI142" s="293"/>
      <c r="AJ142" s="293"/>
      <c r="AK142" s="293"/>
      <c r="AL142" s="293"/>
      <c r="AM142" s="293"/>
      <c r="AN142" s="293"/>
      <c r="AO142" s="293"/>
      <c r="AP142" s="293"/>
      <c r="AQ142" s="293"/>
    </row>
    <row r="143" spans="2:43" x14ac:dyDescent="0.2">
      <c r="B143" s="293"/>
      <c r="C143" s="293"/>
      <c r="D143" s="293"/>
      <c r="E143" s="293"/>
      <c r="F143" s="293"/>
      <c r="G143" s="293"/>
      <c r="H143" s="293"/>
      <c r="I143" s="293"/>
      <c r="J143" s="293"/>
      <c r="K143" s="293"/>
      <c r="L143" s="293"/>
      <c r="M143" s="450"/>
      <c r="N143" s="293"/>
      <c r="O143" s="293"/>
      <c r="P143" s="293"/>
      <c r="Q143" s="293"/>
      <c r="R143" s="451"/>
      <c r="S143" s="451"/>
      <c r="T143" s="293"/>
      <c r="U143" s="293"/>
      <c r="V143" s="293"/>
      <c r="W143" s="293"/>
      <c r="X143" s="293"/>
      <c r="Y143" s="293"/>
      <c r="Z143" s="293"/>
      <c r="AA143" s="293"/>
      <c r="AB143" s="293"/>
      <c r="AC143" s="293"/>
      <c r="AD143" s="293"/>
      <c r="AE143" s="293"/>
      <c r="AF143" s="293"/>
      <c r="AG143" s="293"/>
      <c r="AH143" s="293"/>
      <c r="AI143" s="293"/>
      <c r="AJ143" s="293"/>
      <c r="AK143" s="293"/>
      <c r="AL143" s="293"/>
      <c r="AM143" s="293"/>
      <c r="AN143" s="293"/>
      <c r="AO143" s="293"/>
      <c r="AP143" s="293"/>
      <c r="AQ143" s="293"/>
    </row>
    <row r="144" spans="2:43" x14ac:dyDescent="0.2">
      <c r="B144" s="293"/>
      <c r="C144" s="293"/>
      <c r="D144" s="293"/>
      <c r="E144" s="293"/>
      <c r="F144" s="293"/>
      <c r="G144" s="293"/>
      <c r="H144" s="293"/>
      <c r="I144" s="293"/>
      <c r="J144" s="293"/>
      <c r="K144" s="293"/>
      <c r="L144" s="293"/>
      <c r="M144" s="450"/>
      <c r="N144" s="293"/>
      <c r="O144" s="293"/>
      <c r="P144" s="293"/>
      <c r="Q144" s="293"/>
      <c r="R144" s="451"/>
      <c r="S144" s="451"/>
      <c r="T144" s="293"/>
      <c r="U144" s="293"/>
      <c r="V144" s="293"/>
      <c r="W144" s="293"/>
      <c r="X144" s="293"/>
      <c r="Y144" s="293"/>
      <c r="Z144" s="293"/>
      <c r="AA144" s="293"/>
      <c r="AB144" s="293"/>
      <c r="AC144" s="293"/>
      <c r="AD144" s="293"/>
      <c r="AE144" s="293"/>
      <c r="AF144" s="293"/>
      <c r="AG144" s="293"/>
      <c r="AH144" s="293"/>
      <c r="AI144" s="293"/>
      <c r="AJ144" s="293"/>
      <c r="AK144" s="293"/>
      <c r="AL144" s="293"/>
      <c r="AM144" s="293"/>
      <c r="AN144" s="293"/>
      <c r="AO144" s="293"/>
      <c r="AP144" s="293"/>
      <c r="AQ144" s="293"/>
    </row>
    <row r="145" spans="2:43" x14ac:dyDescent="0.2">
      <c r="B145" s="293"/>
      <c r="C145" s="293"/>
      <c r="D145" s="293"/>
      <c r="E145" s="293"/>
      <c r="F145" s="293"/>
      <c r="G145" s="293"/>
      <c r="H145" s="293"/>
      <c r="I145" s="293"/>
      <c r="J145" s="293"/>
      <c r="K145" s="293"/>
      <c r="L145" s="293"/>
      <c r="M145" s="450"/>
      <c r="N145" s="293"/>
      <c r="O145" s="293"/>
      <c r="P145" s="293"/>
      <c r="Q145" s="293"/>
      <c r="R145" s="451"/>
      <c r="S145" s="451"/>
      <c r="T145" s="293"/>
      <c r="U145" s="293"/>
      <c r="V145" s="293"/>
      <c r="W145" s="293"/>
      <c r="X145" s="293"/>
      <c r="Y145" s="293"/>
      <c r="Z145" s="293"/>
      <c r="AA145" s="293"/>
      <c r="AB145" s="293"/>
      <c r="AC145" s="293"/>
      <c r="AD145" s="293"/>
      <c r="AE145" s="293"/>
      <c r="AF145" s="293"/>
      <c r="AG145" s="293"/>
      <c r="AH145" s="293"/>
      <c r="AI145" s="293"/>
      <c r="AJ145" s="293"/>
      <c r="AK145" s="293"/>
      <c r="AL145" s="293"/>
      <c r="AM145" s="293"/>
      <c r="AN145" s="293"/>
      <c r="AO145" s="293"/>
      <c r="AP145" s="293"/>
      <c r="AQ145" s="293"/>
    </row>
    <row r="146" spans="2:43" x14ac:dyDescent="0.2">
      <c r="B146" s="293"/>
      <c r="C146" s="293"/>
      <c r="D146" s="293"/>
      <c r="E146" s="293"/>
      <c r="F146" s="293"/>
      <c r="G146" s="293"/>
      <c r="H146" s="293"/>
      <c r="I146" s="293"/>
      <c r="J146" s="293"/>
      <c r="K146" s="293"/>
      <c r="L146" s="293"/>
      <c r="M146" s="450"/>
      <c r="N146" s="293"/>
      <c r="O146" s="293"/>
      <c r="P146" s="293"/>
      <c r="Q146" s="293"/>
      <c r="R146" s="451"/>
      <c r="S146" s="451"/>
      <c r="T146" s="293"/>
      <c r="U146" s="293"/>
      <c r="V146" s="293"/>
      <c r="W146" s="293"/>
      <c r="X146" s="293"/>
      <c r="Y146" s="293"/>
      <c r="Z146" s="293"/>
      <c r="AA146" s="293"/>
      <c r="AB146" s="293"/>
      <c r="AC146" s="293"/>
      <c r="AD146" s="293"/>
      <c r="AE146" s="293"/>
      <c r="AF146" s="293"/>
      <c r="AG146" s="293"/>
      <c r="AH146" s="293"/>
      <c r="AI146" s="293"/>
      <c r="AJ146" s="293"/>
      <c r="AK146" s="293"/>
      <c r="AL146" s="293"/>
      <c r="AM146" s="293"/>
      <c r="AN146" s="293"/>
      <c r="AO146" s="293"/>
      <c r="AP146" s="293"/>
      <c r="AQ146" s="293"/>
    </row>
    <row r="147" spans="2:43" x14ac:dyDescent="0.2">
      <c r="B147" s="293"/>
      <c r="C147" s="293"/>
      <c r="D147" s="293"/>
      <c r="E147" s="293"/>
      <c r="F147" s="293"/>
      <c r="G147" s="293"/>
      <c r="H147" s="293"/>
      <c r="I147" s="293"/>
      <c r="J147" s="293"/>
      <c r="K147" s="293"/>
      <c r="L147" s="293"/>
      <c r="M147" s="450"/>
      <c r="N147" s="293"/>
      <c r="O147" s="293"/>
      <c r="P147" s="293"/>
      <c r="Q147" s="293"/>
      <c r="R147" s="451"/>
      <c r="S147" s="451"/>
      <c r="T147" s="293"/>
      <c r="U147" s="293"/>
      <c r="V147" s="293"/>
      <c r="W147" s="293"/>
      <c r="X147" s="293"/>
      <c r="Y147" s="293"/>
      <c r="Z147" s="293"/>
      <c r="AA147" s="293"/>
      <c r="AB147" s="293"/>
      <c r="AC147" s="293"/>
      <c r="AD147" s="293"/>
      <c r="AE147" s="293"/>
      <c r="AF147" s="293"/>
      <c r="AG147" s="293"/>
      <c r="AH147" s="293"/>
      <c r="AI147" s="293"/>
      <c r="AJ147" s="293"/>
      <c r="AK147" s="293"/>
      <c r="AL147" s="293"/>
      <c r="AM147" s="293"/>
      <c r="AN147" s="293"/>
      <c r="AO147" s="293"/>
      <c r="AP147" s="293"/>
      <c r="AQ147" s="293"/>
    </row>
    <row r="148" spans="2:43" x14ac:dyDescent="0.2">
      <c r="B148" s="293"/>
      <c r="C148" s="293"/>
      <c r="D148" s="293"/>
      <c r="E148" s="293"/>
      <c r="F148" s="293"/>
      <c r="G148" s="293"/>
      <c r="H148" s="293"/>
      <c r="I148" s="293"/>
      <c r="J148" s="293"/>
      <c r="K148" s="293"/>
      <c r="L148" s="293"/>
      <c r="M148" s="450"/>
      <c r="N148" s="293"/>
      <c r="O148" s="293"/>
      <c r="P148" s="293"/>
      <c r="Q148" s="293"/>
      <c r="R148" s="451"/>
      <c r="S148" s="451"/>
      <c r="T148" s="293"/>
      <c r="U148" s="293"/>
      <c r="V148" s="293"/>
      <c r="W148" s="293"/>
      <c r="X148" s="293"/>
      <c r="Y148" s="293"/>
      <c r="Z148" s="293"/>
      <c r="AA148" s="293"/>
      <c r="AB148" s="293"/>
      <c r="AC148" s="293"/>
      <c r="AD148" s="293"/>
      <c r="AE148" s="293"/>
      <c r="AF148" s="293"/>
      <c r="AG148" s="293"/>
      <c r="AH148" s="293"/>
      <c r="AI148" s="293"/>
      <c r="AJ148" s="293"/>
      <c r="AK148" s="293"/>
      <c r="AL148" s="293"/>
      <c r="AM148" s="293"/>
      <c r="AN148" s="293"/>
      <c r="AO148" s="293"/>
      <c r="AP148" s="293"/>
      <c r="AQ148" s="293"/>
    </row>
    <row r="149" spans="2:43" x14ac:dyDescent="0.2">
      <c r="B149" s="293"/>
      <c r="C149" s="293"/>
      <c r="D149" s="293"/>
      <c r="E149" s="293"/>
      <c r="F149" s="293"/>
      <c r="G149" s="293"/>
      <c r="H149" s="293"/>
      <c r="I149" s="293"/>
      <c r="J149" s="293"/>
      <c r="K149" s="293"/>
      <c r="L149" s="293"/>
      <c r="M149" s="450"/>
      <c r="N149" s="293"/>
      <c r="O149" s="293"/>
      <c r="P149" s="293"/>
      <c r="Q149" s="293"/>
      <c r="R149" s="451"/>
      <c r="S149" s="451"/>
      <c r="T149" s="293"/>
      <c r="U149" s="293"/>
      <c r="V149" s="293"/>
      <c r="W149" s="293"/>
      <c r="X149" s="293"/>
      <c r="Y149" s="293"/>
      <c r="Z149" s="293"/>
      <c r="AA149" s="293"/>
      <c r="AB149" s="293"/>
      <c r="AC149" s="293"/>
      <c r="AD149" s="293"/>
      <c r="AE149" s="293"/>
      <c r="AF149" s="293"/>
      <c r="AG149" s="293"/>
      <c r="AH149" s="293"/>
      <c r="AI149" s="293"/>
      <c r="AJ149" s="293"/>
      <c r="AK149" s="293"/>
      <c r="AL149" s="293"/>
      <c r="AM149" s="293"/>
      <c r="AN149" s="293"/>
      <c r="AO149" s="293"/>
      <c r="AP149" s="293"/>
      <c r="AQ149" s="293"/>
    </row>
    <row r="150" spans="2:43" x14ac:dyDescent="0.2">
      <c r="B150" s="293"/>
      <c r="C150" s="293"/>
      <c r="D150" s="293"/>
      <c r="E150" s="293"/>
      <c r="F150" s="293"/>
      <c r="G150" s="293"/>
      <c r="H150" s="293"/>
      <c r="I150" s="293"/>
      <c r="J150" s="293"/>
      <c r="K150" s="293"/>
      <c r="L150" s="293"/>
      <c r="M150" s="450"/>
      <c r="N150" s="293"/>
      <c r="O150" s="293"/>
      <c r="P150" s="293"/>
      <c r="Q150" s="293"/>
      <c r="R150" s="451"/>
      <c r="S150" s="451"/>
      <c r="T150" s="293"/>
      <c r="U150" s="293"/>
      <c r="V150" s="293"/>
      <c r="W150" s="293"/>
      <c r="X150" s="293"/>
      <c r="Y150" s="293"/>
      <c r="Z150" s="293"/>
      <c r="AA150" s="293"/>
      <c r="AB150" s="293"/>
      <c r="AC150" s="293"/>
      <c r="AD150" s="293"/>
      <c r="AE150" s="293"/>
      <c r="AF150" s="293"/>
      <c r="AG150" s="293"/>
      <c r="AH150" s="293"/>
      <c r="AI150" s="293"/>
      <c r="AJ150" s="293"/>
      <c r="AK150" s="293"/>
      <c r="AL150" s="293"/>
      <c r="AM150" s="293"/>
      <c r="AN150" s="293"/>
      <c r="AO150" s="293"/>
      <c r="AP150" s="293"/>
      <c r="AQ150" s="293"/>
    </row>
    <row r="151" spans="2:43" x14ac:dyDescent="0.2">
      <c r="B151" s="293"/>
      <c r="C151" s="293"/>
      <c r="D151" s="293"/>
      <c r="E151" s="293"/>
      <c r="F151" s="293"/>
      <c r="G151" s="293"/>
      <c r="H151" s="293"/>
      <c r="I151" s="293"/>
      <c r="J151" s="293"/>
      <c r="K151" s="293"/>
      <c r="L151" s="293"/>
      <c r="M151" s="450"/>
      <c r="N151" s="293"/>
      <c r="O151" s="293"/>
      <c r="P151" s="293"/>
      <c r="Q151" s="293"/>
      <c r="R151" s="451"/>
      <c r="S151" s="451"/>
      <c r="T151" s="293"/>
      <c r="U151" s="293"/>
      <c r="V151" s="293"/>
      <c r="W151" s="293"/>
      <c r="X151" s="293"/>
      <c r="Y151" s="293"/>
      <c r="Z151" s="293"/>
      <c r="AA151" s="293"/>
      <c r="AB151" s="293"/>
      <c r="AC151" s="293"/>
      <c r="AD151" s="293"/>
      <c r="AE151" s="293"/>
      <c r="AF151" s="293"/>
      <c r="AG151" s="293"/>
      <c r="AH151" s="293"/>
      <c r="AI151" s="293"/>
      <c r="AJ151" s="293"/>
      <c r="AK151" s="293"/>
      <c r="AL151" s="293"/>
      <c r="AM151" s="293"/>
      <c r="AN151" s="293"/>
      <c r="AO151" s="293"/>
      <c r="AP151" s="293"/>
      <c r="AQ151" s="293"/>
    </row>
    <row r="152" spans="2:43" x14ac:dyDescent="0.2">
      <c r="B152" s="293"/>
      <c r="C152" s="293"/>
      <c r="D152" s="293"/>
      <c r="E152" s="293"/>
      <c r="F152" s="293"/>
      <c r="G152" s="293"/>
      <c r="H152" s="293"/>
      <c r="I152" s="293"/>
      <c r="J152" s="293"/>
      <c r="K152" s="293"/>
      <c r="L152" s="293"/>
      <c r="M152" s="450"/>
      <c r="N152" s="293"/>
      <c r="O152" s="293"/>
      <c r="P152" s="293"/>
      <c r="Q152" s="293"/>
      <c r="R152" s="451"/>
      <c r="S152" s="451"/>
      <c r="T152" s="293"/>
      <c r="U152" s="293"/>
      <c r="V152" s="293"/>
      <c r="W152" s="293"/>
      <c r="X152" s="293"/>
      <c r="Y152" s="293"/>
      <c r="Z152" s="293"/>
      <c r="AA152" s="293"/>
      <c r="AB152" s="293"/>
      <c r="AC152" s="293"/>
      <c r="AD152" s="293"/>
      <c r="AE152" s="293"/>
      <c r="AF152" s="293"/>
      <c r="AG152" s="293"/>
      <c r="AH152" s="293"/>
      <c r="AI152" s="293"/>
      <c r="AJ152" s="293"/>
      <c r="AK152" s="293"/>
      <c r="AL152" s="293"/>
      <c r="AM152" s="293"/>
      <c r="AN152" s="293"/>
      <c r="AO152" s="293"/>
      <c r="AP152" s="293"/>
      <c r="AQ152" s="293"/>
    </row>
    <row r="153" spans="2:43" x14ac:dyDescent="0.2">
      <c r="B153" s="293"/>
      <c r="C153" s="293"/>
      <c r="D153" s="293"/>
      <c r="E153" s="293"/>
      <c r="F153" s="293"/>
      <c r="G153" s="293"/>
      <c r="H153" s="293"/>
      <c r="I153" s="293"/>
      <c r="J153" s="293"/>
      <c r="K153" s="293"/>
      <c r="L153" s="293"/>
      <c r="M153" s="450"/>
      <c r="N153" s="293"/>
      <c r="O153" s="293"/>
      <c r="P153" s="293"/>
      <c r="Q153" s="293"/>
      <c r="R153" s="451"/>
      <c r="S153" s="451"/>
      <c r="T153" s="293"/>
      <c r="U153" s="293"/>
      <c r="V153" s="293"/>
      <c r="W153" s="293"/>
      <c r="X153" s="293"/>
      <c r="Y153" s="293"/>
      <c r="Z153" s="293"/>
      <c r="AA153" s="293"/>
      <c r="AB153" s="293"/>
      <c r="AC153" s="293"/>
      <c r="AD153" s="293"/>
      <c r="AE153" s="293"/>
      <c r="AF153" s="293"/>
      <c r="AG153" s="293"/>
      <c r="AH153" s="293"/>
      <c r="AI153" s="293"/>
      <c r="AJ153" s="293"/>
      <c r="AK153" s="293"/>
      <c r="AL153" s="293"/>
      <c r="AM153" s="293"/>
      <c r="AN153" s="293"/>
      <c r="AO153" s="293"/>
      <c r="AP153" s="293"/>
      <c r="AQ153" s="293"/>
    </row>
    <row r="154" spans="2:43" x14ac:dyDescent="0.2">
      <c r="B154" s="293"/>
      <c r="C154" s="293"/>
      <c r="D154" s="293"/>
      <c r="E154" s="293"/>
      <c r="F154" s="293"/>
      <c r="G154" s="293"/>
      <c r="H154" s="293"/>
      <c r="I154" s="293"/>
      <c r="J154" s="293"/>
      <c r="K154" s="293"/>
      <c r="L154" s="293"/>
      <c r="M154" s="450"/>
      <c r="N154" s="293"/>
      <c r="O154" s="293"/>
      <c r="P154" s="293"/>
      <c r="Q154" s="293"/>
      <c r="R154" s="451"/>
      <c r="S154" s="451"/>
      <c r="T154" s="293"/>
      <c r="U154" s="293"/>
      <c r="V154" s="293"/>
      <c r="W154" s="293"/>
      <c r="X154" s="293"/>
      <c r="Y154" s="293"/>
      <c r="Z154" s="293"/>
      <c r="AA154" s="293"/>
      <c r="AB154" s="293"/>
      <c r="AC154" s="293"/>
      <c r="AD154" s="293"/>
      <c r="AE154" s="293"/>
      <c r="AF154" s="293"/>
      <c r="AG154" s="293"/>
      <c r="AH154" s="293"/>
      <c r="AI154" s="293"/>
      <c r="AJ154" s="293"/>
      <c r="AK154" s="293"/>
      <c r="AL154" s="293"/>
      <c r="AM154" s="293"/>
      <c r="AN154" s="293"/>
      <c r="AO154" s="293"/>
      <c r="AP154" s="293"/>
      <c r="AQ154" s="293"/>
    </row>
    <row r="155" spans="2:43" x14ac:dyDescent="0.2">
      <c r="B155" s="293"/>
      <c r="C155" s="293"/>
      <c r="D155" s="293"/>
      <c r="E155" s="293"/>
      <c r="F155" s="293"/>
      <c r="G155" s="293"/>
      <c r="H155" s="293"/>
      <c r="I155" s="293"/>
      <c r="J155" s="293"/>
      <c r="K155" s="293"/>
      <c r="L155" s="293"/>
      <c r="M155" s="450"/>
      <c r="N155" s="293"/>
      <c r="O155" s="293"/>
      <c r="P155" s="293"/>
      <c r="Q155" s="293"/>
      <c r="R155" s="451"/>
      <c r="S155" s="451"/>
      <c r="T155" s="293"/>
      <c r="U155" s="293"/>
      <c r="V155" s="293"/>
      <c r="W155" s="293"/>
      <c r="X155" s="293"/>
      <c r="Y155" s="293"/>
      <c r="Z155" s="293"/>
      <c r="AA155" s="293"/>
      <c r="AB155" s="293"/>
      <c r="AC155" s="293"/>
      <c r="AD155" s="293"/>
      <c r="AE155" s="293"/>
      <c r="AF155" s="293"/>
      <c r="AG155" s="293"/>
      <c r="AH155" s="293"/>
      <c r="AI155" s="293"/>
      <c r="AJ155" s="293"/>
      <c r="AK155" s="293"/>
      <c r="AL155" s="293"/>
      <c r="AM155" s="293"/>
      <c r="AN155" s="293"/>
      <c r="AO155" s="293"/>
      <c r="AP155" s="293"/>
      <c r="AQ155" s="293"/>
    </row>
    <row r="156" spans="2:43" x14ac:dyDescent="0.2">
      <c r="B156" s="293"/>
      <c r="C156" s="293"/>
      <c r="D156" s="293"/>
      <c r="E156" s="293"/>
      <c r="F156" s="293"/>
      <c r="G156" s="293"/>
      <c r="H156" s="293"/>
      <c r="I156" s="293"/>
      <c r="J156" s="293"/>
      <c r="K156" s="293"/>
      <c r="L156" s="293"/>
      <c r="M156" s="450"/>
      <c r="N156" s="293"/>
      <c r="O156" s="293"/>
      <c r="P156" s="293"/>
      <c r="Q156" s="293"/>
      <c r="R156" s="451"/>
      <c r="S156" s="451"/>
      <c r="T156" s="293"/>
      <c r="U156" s="293"/>
      <c r="V156" s="293"/>
      <c r="W156" s="293"/>
      <c r="X156" s="293"/>
      <c r="Y156" s="293"/>
      <c r="Z156" s="293"/>
      <c r="AA156" s="293"/>
      <c r="AB156" s="293"/>
      <c r="AC156" s="293"/>
      <c r="AD156" s="293"/>
      <c r="AE156" s="293"/>
      <c r="AF156" s="293"/>
      <c r="AG156" s="293"/>
      <c r="AH156" s="293"/>
      <c r="AI156" s="293"/>
      <c r="AJ156" s="293"/>
      <c r="AK156" s="293"/>
      <c r="AL156" s="293"/>
      <c r="AM156" s="293"/>
      <c r="AN156" s="293"/>
      <c r="AO156" s="293"/>
      <c r="AP156" s="293"/>
      <c r="AQ156" s="293"/>
    </row>
    <row r="157" spans="2:43" x14ac:dyDescent="0.2">
      <c r="B157" s="293"/>
      <c r="C157" s="293"/>
      <c r="D157" s="293"/>
      <c r="E157" s="293"/>
      <c r="F157" s="293"/>
      <c r="G157" s="293"/>
      <c r="H157" s="293"/>
      <c r="I157" s="293"/>
      <c r="J157" s="293"/>
      <c r="K157" s="293"/>
      <c r="L157" s="293"/>
      <c r="M157" s="450"/>
      <c r="N157" s="293"/>
      <c r="O157" s="293"/>
      <c r="P157" s="293"/>
      <c r="Q157" s="293"/>
      <c r="R157" s="451"/>
      <c r="S157" s="451"/>
      <c r="T157" s="293"/>
      <c r="U157" s="293"/>
      <c r="V157" s="293"/>
      <c r="W157" s="293"/>
      <c r="X157" s="293"/>
      <c r="Y157" s="293"/>
      <c r="Z157" s="293"/>
      <c r="AA157" s="293"/>
      <c r="AB157" s="293"/>
      <c r="AC157" s="293"/>
      <c r="AD157" s="293"/>
      <c r="AE157" s="293"/>
      <c r="AF157" s="293"/>
      <c r="AG157" s="293"/>
      <c r="AH157" s="293"/>
      <c r="AI157" s="293"/>
      <c r="AJ157" s="293"/>
      <c r="AK157" s="293"/>
      <c r="AL157" s="293"/>
      <c r="AM157" s="293"/>
      <c r="AN157" s="293"/>
      <c r="AO157" s="293"/>
      <c r="AP157" s="293"/>
      <c r="AQ157" s="293"/>
    </row>
    <row r="158" spans="2:43" x14ac:dyDescent="0.2">
      <c r="B158" s="293"/>
      <c r="C158" s="293"/>
      <c r="D158" s="293"/>
      <c r="E158" s="293"/>
      <c r="F158" s="293"/>
      <c r="G158" s="293"/>
      <c r="H158" s="293"/>
      <c r="I158" s="293"/>
      <c r="J158" s="293"/>
      <c r="K158" s="293"/>
      <c r="L158" s="293"/>
      <c r="M158" s="450"/>
      <c r="N158" s="293"/>
      <c r="O158" s="293"/>
      <c r="P158" s="293"/>
      <c r="Q158" s="293"/>
      <c r="R158" s="451"/>
      <c r="S158" s="451"/>
      <c r="T158" s="293"/>
      <c r="U158" s="293"/>
      <c r="V158" s="293"/>
      <c r="W158" s="293"/>
      <c r="X158" s="293"/>
      <c r="Y158" s="293"/>
      <c r="Z158" s="293"/>
      <c r="AA158" s="293"/>
      <c r="AB158" s="293"/>
      <c r="AC158" s="293"/>
      <c r="AD158" s="293"/>
      <c r="AE158" s="293"/>
      <c r="AF158" s="293"/>
      <c r="AG158" s="293"/>
      <c r="AH158" s="293"/>
      <c r="AI158" s="293"/>
      <c r="AJ158" s="293"/>
      <c r="AK158" s="293"/>
      <c r="AL158" s="293"/>
      <c r="AM158" s="293"/>
      <c r="AN158" s="293"/>
      <c r="AO158" s="293"/>
      <c r="AP158" s="293"/>
      <c r="AQ158" s="293"/>
    </row>
    <row r="159" spans="2:43" x14ac:dyDescent="0.2">
      <c r="B159" s="293"/>
      <c r="C159" s="293"/>
      <c r="D159" s="293"/>
      <c r="E159" s="293"/>
      <c r="F159" s="293"/>
      <c r="G159" s="293"/>
      <c r="H159" s="293"/>
      <c r="I159" s="293"/>
      <c r="J159" s="293"/>
      <c r="K159" s="293"/>
      <c r="L159" s="293"/>
      <c r="M159" s="450"/>
      <c r="N159" s="293"/>
      <c r="O159" s="293"/>
      <c r="P159" s="293"/>
      <c r="Q159" s="293"/>
      <c r="R159" s="451"/>
      <c r="S159" s="451"/>
      <c r="T159" s="293"/>
      <c r="U159" s="293"/>
      <c r="V159" s="293"/>
      <c r="W159" s="293"/>
      <c r="X159" s="293"/>
      <c r="Y159" s="293"/>
      <c r="Z159" s="293"/>
      <c r="AA159" s="293"/>
      <c r="AB159" s="293"/>
      <c r="AC159" s="293"/>
      <c r="AD159" s="293"/>
      <c r="AE159" s="293"/>
      <c r="AF159" s="293"/>
      <c r="AG159" s="293"/>
      <c r="AH159" s="293"/>
      <c r="AI159" s="293"/>
      <c r="AJ159" s="293"/>
      <c r="AK159" s="293"/>
      <c r="AL159" s="293"/>
      <c r="AM159" s="293"/>
      <c r="AN159" s="293"/>
      <c r="AO159" s="293"/>
      <c r="AP159" s="293"/>
      <c r="AQ159" s="293"/>
    </row>
    <row r="160" spans="2:43" x14ac:dyDescent="0.2">
      <c r="B160" s="293"/>
      <c r="C160" s="293"/>
      <c r="D160" s="293"/>
      <c r="E160" s="293"/>
      <c r="F160" s="293"/>
      <c r="G160" s="293"/>
      <c r="H160" s="293"/>
      <c r="I160" s="293"/>
      <c r="J160" s="293"/>
      <c r="K160" s="293"/>
      <c r="L160" s="293"/>
      <c r="M160" s="450"/>
      <c r="N160" s="293"/>
      <c r="O160" s="293"/>
      <c r="P160" s="293"/>
      <c r="Q160" s="293"/>
      <c r="R160" s="451"/>
      <c r="S160" s="451"/>
      <c r="T160" s="293"/>
      <c r="U160" s="293"/>
      <c r="V160" s="293"/>
      <c r="W160" s="293"/>
      <c r="X160" s="293"/>
      <c r="Y160" s="293"/>
      <c r="Z160" s="293"/>
      <c r="AA160" s="293"/>
      <c r="AB160" s="293"/>
      <c r="AC160" s="293"/>
      <c r="AD160" s="293"/>
      <c r="AE160" s="293"/>
      <c r="AF160" s="293"/>
      <c r="AG160" s="293"/>
      <c r="AH160" s="293"/>
      <c r="AI160" s="293"/>
      <c r="AJ160" s="293"/>
      <c r="AK160" s="293"/>
      <c r="AL160" s="293"/>
      <c r="AM160" s="293"/>
      <c r="AN160" s="293"/>
      <c r="AO160" s="293"/>
      <c r="AP160" s="293"/>
      <c r="AQ160" s="293"/>
    </row>
    <row r="161" spans="2:43" x14ac:dyDescent="0.2">
      <c r="B161" s="293"/>
      <c r="C161" s="293"/>
      <c r="D161" s="293"/>
      <c r="E161" s="293"/>
      <c r="F161" s="293"/>
      <c r="G161" s="293"/>
      <c r="H161" s="293"/>
      <c r="I161" s="293"/>
      <c r="J161" s="293"/>
      <c r="K161" s="293"/>
      <c r="L161" s="293"/>
      <c r="M161" s="450"/>
      <c r="N161" s="293"/>
      <c r="O161" s="293"/>
      <c r="P161" s="293"/>
      <c r="Q161" s="293"/>
      <c r="R161" s="451"/>
      <c r="S161" s="451"/>
      <c r="T161" s="293"/>
      <c r="U161" s="293"/>
      <c r="V161" s="293"/>
      <c r="W161" s="293"/>
      <c r="X161" s="293"/>
      <c r="Y161" s="293"/>
      <c r="Z161" s="293"/>
      <c r="AA161" s="293"/>
      <c r="AB161" s="293"/>
      <c r="AC161" s="293"/>
      <c r="AD161" s="293"/>
      <c r="AE161" s="293"/>
      <c r="AF161" s="293"/>
      <c r="AG161" s="293"/>
      <c r="AH161" s="293"/>
      <c r="AI161" s="293"/>
      <c r="AJ161" s="293"/>
      <c r="AK161" s="293"/>
      <c r="AL161" s="293"/>
      <c r="AM161" s="293"/>
      <c r="AN161" s="293"/>
      <c r="AO161" s="293"/>
      <c r="AP161" s="293"/>
      <c r="AQ161" s="293"/>
    </row>
    <row r="162" spans="2:43" x14ac:dyDescent="0.2">
      <c r="B162" s="293"/>
      <c r="C162" s="293"/>
      <c r="D162" s="293"/>
      <c r="E162" s="293"/>
      <c r="F162" s="293"/>
      <c r="G162" s="293"/>
      <c r="H162" s="293"/>
      <c r="I162" s="293"/>
      <c r="J162" s="293"/>
      <c r="K162" s="293"/>
      <c r="L162" s="293"/>
      <c r="M162" s="450"/>
      <c r="N162" s="293"/>
      <c r="O162" s="293"/>
      <c r="P162" s="293"/>
      <c r="Q162" s="293"/>
      <c r="R162" s="451"/>
      <c r="S162" s="451"/>
      <c r="T162" s="293"/>
      <c r="U162" s="293"/>
      <c r="V162" s="293"/>
      <c r="W162" s="293"/>
      <c r="X162" s="293"/>
      <c r="Y162" s="293"/>
      <c r="Z162" s="293"/>
      <c r="AA162" s="293"/>
      <c r="AB162" s="293"/>
      <c r="AC162" s="293"/>
      <c r="AD162" s="293"/>
      <c r="AE162" s="293"/>
      <c r="AF162" s="293"/>
      <c r="AG162" s="293"/>
      <c r="AH162" s="293"/>
      <c r="AI162" s="293"/>
      <c r="AJ162" s="293"/>
      <c r="AK162" s="293"/>
      <c r="AL162" s="293"/>
      <c r="AM162" s="293"/>
      <c r="AN162" s="293"/>
      <c r="AO162" s="293"/>
      <c r="AP162" s="293"/>
      <c r="AQ162" s="293"/>
    </row>
    <row r="163" spans="2:43" x14ac:dyDescent="0.2">
      <c r="B163" s="293"/>
      <c r="C163" s="293"/>
      <c r="D163" s="293"/>
      <c r="E163" s="293"/>
      <c r="F163" s="293"/>
      <c r="G163" s="293"/>
      <c r="H163" s="293"/>
      <c r="I163" s="293"/>
      <c r="J163" s="293"/>
      <c r="K163" s="293"/>
      <c r="L163" s="293"/>
      <c r="M163" s="450"/>
      <c r="N163" s="293"/>
      <c r="O163" s="293"/>
      <c r="P163" s="293"/>
      <c r="Q163" s="293"/>
      <c r="R163" s="451"/>
      <c r="S163" s="451"/>
      <c r="T163" s="293"/>
      <c r="U163" s="293"/>
      <c r="V163" s="293"/>
      <c r="W163" s="293"/>
      <c r="X163" s="293"/>
      <c r="Y163" s="293"/>
      <c r="Z163" s="293"/>
      <c r="AA163" s="293"/>
      <c r="AB163" s="293"/>
      <c r="AC163" s="293"/>
      <c r="AD163" s="293"/>
      <c r="AE163" s="293"/>
      <c r="AF163" s="293"/>
      <c r="AG163" s="293"/>
      <c r="AH163" s="293"/>
      <c r="AI163" s="293"/>
      <c r="AJ163" s="293"/>
      <c r="AK163" s="293"/>
      <c r="AL163" s="293"/>
      <c r="AM163" s="293"/>
      <c r="AN163" s="293"/>
      <c r="AO163" s="293"/>
      <c r="AP163" s="293"/>
      <c r="AQ163" s="293"/>
    </row>
    <row r="164" spans="2:43" x14ac:dyDescent="0.2">
      <c r="B164" s="293"/>
      <c r="C164" s="293"/>
      <c r="D164" s="293"/>
      <c r="E164" s="293"/>
      <c r="F164" s="293"/>
      <c r="G164" s="293"/>
      <c r="H164" s="293"/>
      <c r="I164" s="293"/>
      <c r="J164" s="293"/>
      <c r="K164" s="293"/>
      <c r="L164" s="293"/>
      <c r="M164" s="450"/>
      <c r="N164" s="293"/>
      <c r="O164" s="293"/>
      <c r="P164" s="293"/>
      <c r="Q164" s="293"/>
      <c r="R164" s="451"/>
      <c r="S164" s="451"/>
      <c r="T164" s="293"/>
      <c r="U164" s="293"/>
      <c r="V164" s="293"/>
      <c r="W164" s="293"/>
      <c r="X164" s="293"/>
      <c r="Y164" s="293"/>
      <c r="Z164" s="293"/>
      <c r="AA164" s="293"/>
      <c r="AB164" s="293"/>
      <c r="AC164" s="293"/>
      <c r="AD164" s="293"/>
      <c r="AE164" s="293"/>
      <c r="AF164" s="293"/>
      <c r="AG164" s="293"/>
      <c r="AH164" s="293"/>
      <c r="AI164" s="293"/>
      <c r="AJ164" s="293"/>
      <c r="AK164" s="293"/>
      <c r="AL164" s="293"/>
      <c r="AM164" s="293"/>
      <c r="AN164" s="293"/>
      <c r="AO164" s="293"/>
      <c r="AP164" s="293"/>
      <c r="AQ164" s="293"/>
    </row>
    <row r="165" spans="2:43" x14ac:dyDescent="0.2">
      <c r="B165" s="293"/>
      <c r="C165" s="293"/>
      <c r="D165" s="293"/>
      <c r="E165" s="293"/>
      <c r="F165" s="293"/>
      <c r="G165" s="293"/>
      <c r="H165" s="293"/>
      <c r="I165" s="293"/>
      <c r="J165" s="293"/>
      <c r="K165" s="293"/>
      <c r="L165" s="293"/>
      <c r="M165" s="450"/>
      <c r="N165" s="293"/>
      <c r="O165" s="293"/>
      <c r="P165" s="293"/>
      <c r="Q165" s="293"/>
      <c r="R165" s="451"/>
      <c r="S165" s="451"/>
      <c r="T165" s="293"/>
      <c r="U165" s="293"/>
      <c r="V165" s="293"/>
      <c r="W165" s="293"/>
      <c r="X165" s="293"/>
      <c r="Y165" s="293"/>
      <c r="Z165" s="293"/>
      <c r="AA165" s="293"/>
      <c r="AB165" s="293"/>
      <c r="AC165" s="293"/>
      <c r="AD165" s="293"/>
      <c r="AE165" s="293"/>
      <c r="AF165" s="293"/>
      <c r="AG165" s="293"/>
      <c r="AH165" s="293"/>
      <c r="AI165" s="293"/>
      <c r="AJ165" s="293"/>
      <c r="AK165" s="293"/>
      <c r="AL165" s="293"/>
      <c r="AM165" s="293"/>
      <c r="AN165" s="293"/>
      <c r="AO165" s="293"/>
      <c r="AP165" s="293"/>
      <c r="AQ165" s="293"/>
    </row>
    <row r="166" spans="2:43" x14ac:dyDescent="0.2">
      <c r="B166" s="293"/>
      <c r="C166" s="293"/>
      <c r="D166" s="293"/>
      <c r="E166" s="293"/>
      <c r="F166" s="293"/>
      <c r="G166" s="293"/>
      <c r="H166" s="293"/>
      <c r="I166" s="293"/>
      <c r="J166" s="293"/>
      <c r="K166" s="293"/>
      <c r="L166" s="293"/>
      <c r="M166" s="450"/>
      <c r="N166" s="293"/>
      <c r="O166" s="293"/>
      <c r="P166" s="293"/>
      <c r="Q166" s="293"/>
      <c r="R166" s="451"/>
      <c r="S166" s="451"/>
      <c r="T166" s="293"/>
      <c r="U166" s="293"/>
      <c r="V166" s="293"/>
      <c r="W166" s="293"/>
      <c r="X166" s="293"/>
      <c r="Y166" s="293"/>
      <c r="Z166" s="293"/>
      <c r="AA166" s="293"/>
      <c r="AB166" s="293"/>
      <c r="AC166" s="293"/>
      <c r="AD166" s="293"/>
      <c r="AE166" s="293"/>
      <c r="AF166" s="293"/>
      <c r="AG166" s="293"/>
      <c r="AH166" s="293"/>
      <c r="AI166" s="293"/>
      <c r="AJ166" s="293"/>
      <c r="AK166" s="293"/>
      <c r="AL166" s="293"/>
      <c r="AM166" s="293"/>
      <c r="AN166" s="293"/>
      <c r="AO166" s="293"/>
      <c r="AP166" s="293"/>
      <c r="AQ166" s="293"/>
    </row>
    <row r="167" spans="2:43" x14ac:dyDescent="0.2">
      <c r="B167" s="293"/>
      <c r="C167" s="293"/>
      <c r="D167" s="293"/>
      <c r="E167" s="293"/>
      <c r="F167" s="293"/>
      <c r="G167" s="293"/>
      <c r="H167" s="293"/>
      <c r="I167" s="293"/>
      <c r="J167" s="293"/>
      <c r="K167" s="293"/>
      <c r="L167" s="293"/>
      <c r="M167" s="450"/>
      <c r="N167" s="293"/>
      <c r="O167" s="293"/>
      <c r="P167" s="293"/>
      <c r="Q167" s="293"/>
      <c r="R167" s="451"/>
      <c r="S167" s="451"/>
      <c r="T167" s="293"/>
      <c r="U167" s="293"/>
      <c r="V167" s="293"/>
      <c r="W167" s="293"/>
      <c r="X167" s="293"/>
      <c r="Y167" s="293"/>
      <c r="Z167" s="293"/>
      <c r="AA167" s="293"/>
      <c r="AB167" s="293"/>
      <c r="AC167" s="293"/>
      <c r="AD167" s="293"/>
      <c r="AE167" s="293"/>
      <c r="AF167" s="293"/>
      <c r="AG167" s="293"/>
      <c r="AH167" s="293"/>
      <c r="AI167" s="293"/>
      <c r="AJ167" s="293"/>
      <c r="AK167" s="293"/>
      <c r="AL167" s="293"/>
      <c r="AM167" s="293"/>
      <c r="AN167" s="293"/>
      <c r="AO167" s="293"/>
      <c r="AP167" s="293"/>
      <c r="AQ167" s="293"/>
    </row>
    <row r="168" spans="2:43" x14ac:dyDescent="0.2">
      <c r="B168" s="293"/>
      <c r="C168" s="293"/>
      <c r="D168" s="293"/>
      <c r="E168" s="293"/>
      <c r="F168" s="293"/>
      <c r="G168" s="293"/>
      <c r="H168" s="293"/>
      <c r="I168" s="293"/>
      <c r="J168" s="293"/>
      <c r="K168" s="293"/>
      <c r="L168" s="293"/>
      <c r="M168" s="450"/>
      <c r="N168" s="293"/>
      <c r="O168" s="293"/>
      <c r="P168" s="293"/>
      <c r="Q168" s="293"/>
      <c r="R168" s="451"/>
      <c r="S168" s="451"/>
      <c r="T168" s="293"/>
      <c r="U168" s="293"/>
      <c r="V168" s="293"/>
      <c r="W168" s="293"/>
      <c r="X168" s="293"/>
      <c r="Y168" s="293"/>
      <c r="Z168" s="293"/>
      <c r="AA168" s="293"/>
      <c r="AB168" s="293"/>
      <c r="AC168" s="293"/>
      <c r="AD168" s="293"/>
      <c r="AE168" s="293"/>
      <c r="AF168" s="293"/>
      <c r="AG168" s="293"/>
      <c r="AH168" s="293"/>
      <c r="AI168" s="293"/>
      <c r="AJ168" s="293"/>
      <c r="AK168" s="293"/>
      <c r="AL168" s="293"/>
      <c r="AM168" s="293"/>
      <c r="AN168" s="293"/>
      <c r="AO168" s="293"/>
      <c r="AP168" s="293"/>
      <c r="AQ168" s="293"/>
    </row>
    <row r="169" spans="2:43" x14ac:dyDescent="0.2">
      <c r="B169" s="293"/>
      <c r="C169" s="293"/>
      <c r="D169" s="293"/>
      <c r="E169" s="293"/>
      <c r="F169" s="293"/>
      <c r="G169" s="293"/>
      <c r="H169" s="293"/>
      <c r="I169" s="293"/>
      <c r="J169" s="293"/>
      <c r="K169" s="293"/>
      <c r="L169" s="293"/>
      <c r="M169" s="450"/>
      <c r="N169" s="293"/>
      <c r="O169" s="293"/>
      <c r="P169" s="293"/>
      <c r="Q169" s="293"/>
      <c r="R169" s="451"/>
      <c r="S169" s="451"/>
      <c r="T169" s="293"/>
      <c r="U169" s="293"/>
      <c r="V169" s="293"/>
      <c r="W169" s="293"/>
      <c r="X169" s="293"/>
      <c r="Y169" s="293"/>
      <c r="Z169" s="293"/>
      <c r="AA169" s="293"/>
      <c r="AB169" s="293"/>
      <c r="AC169" s="293"/>
      <c r="AD169" s="293"/>
      <c r="AE169" s="293"/>
      <c r="AF169" s="293"/>
      <c r="AG169" s="293"/>
      <c r="AH169" s="293"/>
      <c r="AI169" s="293"/>
      <c r="AJ169" s="293"/>
      <c r="AK169" s="293"/>
      <c r="AL169" s="293"/>
      <c r="AM169" s="293"/>
      <c r="AN169" s="293"/>
      <c r="AO169" s="293"/>
      <c r="AP169" s="293"/>
      <c r="AQ169" s="293"/>
    </row>
    <row r="170" spans="2:43" x14ac:dyDescent="0.2">
      <c r="B170" s="293"/>
      <c r="C170" s="293"/>
      <c r="D170" s="293"/>
      <c r="E170" s="293"/>
      <c r="F170" s="293"/>
      <c r="G170" s="293"/>
      <c r="H170" s="293"/>
      <c r="I170" s="293"/>
      <c r="J170" s="293"/>
      <c r="K170" s="293"/>
      <c r="L170" s="293"/>
      <c r="M170" s="450"/>
      <c r="N170" s="293"/>
      <c r="O170" s="293"/>
      <c r="P170" s="293"/>
      <c r="Q170" s="293"/>
      <c r="R170" s="451"/>
      <c r="S170" s="451"/>
      <c r="T170" s="293"/>
      <c r="U170" s="293"/>
      <c r="V170" s="293"/>
      <c r="W170" s="293"/>
      <c r="X170" s="293"/>
      <c r="Y170" s="293"/>
      <c r="Z170" s="293"/>
      <c r="AA170" s="293"/>
      <c r="AB170" s="293"/>
      <c r="AC170" s="293"/>
      <c r="AD170" s="293"/>
      <c r="AE170" s="293"/>
      <c r="AF170" s="293"/>
      <c r="AG170" s="293"/>
      <c r="AH170" s="293"/>
      <c r="AI170" s="293"/>
      <c r="AJ170" s="293"/>
      <c r="AK170" s="293"/>
      <c r="AL170" s="293"/>
      <c r="AM170" s="293"/>
      <c r="AN170" s="293"/>
      <c r="AO170" s="293"/>
      <c r="AP170" s="293"/>
      <c r="AQ170" s="293"/>
    </row>
    <row r="171" spans="2:43" x14ac:dyDescent="0.2">
      <c r="B171" s="293"/>
      <c r="C171" s="293"/>
      <c r="D171" s="293"/>
      <c r="E171" s="293"/>
      <c r="F171" s="293"/>
      <c r="G171" s="293"/>
      <c r="H171" s="293"/>
      <c r="I171" s="293"/>
      <c r="J171" s="293"/>
      <c r="K171" s="293"/>
      <c r="L171" s="293"/>
      <c r="M171" s="450"/>
      <c r="N171" s="293"/>
      <c r="O171" s="293"/>
      <c r="P171" s="293"/>
      <c r="Q171" s="293"/>
      <c r="R171" s="451"/>
      <c r="S171" s="451"/>
      <c r="T171" s="293"/>
      <c r="U171" s="293"/>
      <c r="V171" s="293"/>
      <c r="W171" s="293"/>
      <c r="X171" s="293"/>
      <c r="Y171" s="293"/>
      <c r="Z171" s="293"/>
      <c r="AA171" s="293"/>
      <c r="AB171" s="293"/>
      <c r="AC171" s="293"/>
      <c r="AD171" s="293"/>
      <c r="AE171" s="293"/>
      <c r="AF171" s="293"/>
      <c r="AG171" s="293"/>
      <c r="AH171" s="293"/>
      <c r="AI171" s="293"/>
      <c r="AJ171" s="293"/>
      <c r="AK171" s="293"/>
      <c r="AL171" s="293"/>
      <c r="AM171" s="293"/>
      <c r="AN171" s="293"/>
      <c r="AO171" s="293"/>
      <c r="AP171" s="293"/>
      <c r="AQ171" s="293"/>
    </row>
    <row r="172" spans="2:43" x14ac:dyDescent="0.2">
      <c r="B172" s="293"/>
      <c r="C172" s="293"/>
      <c r="D172" s="293"/>
      <c r="E172" s="293"/>
      <c r="F172" s="293"/>
      <c r="G172" s="293"/>
      <c r="H172" s="293"/>
      <c r="I172" s="293"/>
      <c r="J172" s="293"/>
      <c r="K172" s="293"/>
      <c r="L172" s="293"/>
      <c r="M172" s="450"/>
      <c r="N172" s="293"/>
      <c r="O172" s="293"/>
      <c r="P172" s="293"/>
      <c r="Q172" s="293"/>
      <c r="R172" s="451"/>
      <c r="S172" s="451"/>
      <c r="T172" s="293"/>
      <c r="U172" s="293"/>
      <c r="V172" s="293"/>
      <c r="W172" s="293"/>
      <c r="X172" s="293"/>
      <c r="Y172" s="293"/>
      <c r="Z172" s="293"/>
      <c r="AA172" s="293"/>
      <c r="AB172" s="293"/>
      <c r="AC172" s="293"/>
      <c r="AD172" s="293"/>
      <c r="AE172" s="293"/>
      <c r="AF172" s="293"/>
      <c r="AG172" s="293"/>
      <c r="AH172" s="293"/>
      <c r="AI172" s="293"/>
      <c r="AJ172" s="293"/>
      <c r="AK172" s="293"/>
      <c r="AL172" s="293"/>
      <c r="AM172" s="293"/>
      <c r="AN172" s="293"/>
      <c r="AO172" s="293"/>
      <c r="AP172" s="293"/>
      <c r="AQ172" s="293"/>
    </row>
    <row r="173" spans="2:43" x14ac:dyDescent="0.2">
      <c r="B173" s="293"/>
      <c r="C173" s="293"/>
      <c r="D173" s="293"/>
      <c r="E173" s="293"/>
      <c r="F173" s="293"/>
      <c r="G173" s="293"/>
      <c r="H173" s="293"/>
      <c r="I173" s="293"/>
      <c r="J173" s="293"/>
      <c r="K173" s="293"/>
      <c r="L173" s="293"/>
      <c r="M173" s="450"/>
      <c r="N173" s="293"/>
      <c r="O173" s="293"/>
      <c r="P173" s="293"/>
      <c r="Q173" s="293"/>
      <c r="R173" s="451"/>
      <c r="S173" s="451"/>
      <c r="T173" s="293"/>
      <c r="U173" s="293"/>
      <c r="V173" s="293"/>
      <c r="W173" s="293"/>
      <c r="X173" s="293"/>
      <c r="Y173" s="293"/>
      <c r="Z173" s="293"/>
      <c r="AA173" s="293"/>
      <c r="AB173" s="293"/>
      <c r="AC173" s="293"/>
      <c r="AD173" s="293"/>
      <c r="AE173" s="293"/>
      <c r="AF173" s="293"/>
      <c r="AG173" s="293"/>
      <c r="AH173" s="293"/>
      <c r="AI173" s="293"/>
      <c r="AJ173" s="293"/>
      <c r="AK173" s="293"/>
      <c r="AL173" s="293"/>
      <c r="AM173" s="293"/>
      <c r="AN173" s="293"/>
      <c r="AO173" s="293"/>
      <c r="AP173" s="293"/>
      <c r="AQ173" s="293"/>
    </row>
    <row r="174" spans="2:43" x14ac:dyDescent="0.2">
      <c r="B174" s="293"/>
      <c r="C174" s="293"/>
      <c r="D174" s="293"/>
      <c r="E174" s="293"/>
      <c r="F174" s="293"/>
      <c r="G174" s="293"/>
      <c r="H174" s="293"/>
      <c r="I174" s="293"/>
      <c r="J174" s="293"/>
      <c r="K174" s="293"/>
      <c r="L174" s="293"/>
      <c r="M174" s="450"/>
      <c r="N174" s="293"/>
      <c r="O174" s="293"/>
      <c r="P174" s="293"/>
      <c r="Q174" s="293"/>
      <c r="R174" s="451"/>
      <c r="S174" s="451"/>
      <c r="T174" s="293"/>
      <c r="U174" s="293"/>
      <c r="V174" s="293"/>
      <c r="W174" s="293"/>
      <c r="X174" s="293"/>
      <c r="Y174" s="293"/>
      <c r="Z174" s="293"/>
      <c r="AA174" s="293"/>
      <c r="AB174" s="293"/>
      <c r="AC174" s="293"/>
      <c r="AD174" s="293"/>
      <c r="AE174" s="293"/>
      <c r="AF174" s="293"/>
      <c r="AG174" s="293"/>
      <c r="AH174" s="293"/>
      <c r="AI174" s="293"/>
      <c r="AJ174" s="293"/>
      <c r="AK174" s="293"/>
      <c r="AL174" s="293"/>
      <c r="AM174" s="293"/>
      <c r="AN174" s="293"/>
      <c r="AO174" s="293"/>
      <c r="AP174" s="293"/>
      <c r="AQ174" s="293"/>
    </row>
    <row r="175" spans="2:43" x14ac:dyDescent="0.2">
      <c r="B175" s="293"/>
      <c r="C175" s="293"/>
      <c r="D175" s="293"/>
      <c r="E175" s="293"/>
      <c r="F175" s="293"/>
      <c r="G175" s="293"/>
      <c r="H175" s="293"/>
      <c r="I175" s="293"/>
      <c r="J175" s="293"/>
      <c r="K175" s="293"/>
      <c r="L175" s="293"/>
      <c r="M175" s="450"/>
      <c r="N175" s="293"/>
      <c r="O175" s="293"/>
      <c r="P175" s="293"/>
      <c r="Q175" s="293"/>
      <c r="R175" s="451"/>
      <c r="S175" s="451"/>
      <c r="T175" s="293"/>
      <c r="U175" s="293"/>
      <c r="V175" s="293"/>
      <c r="W175" s="293"/>
      <c r="X175" s="293"/>
      <c r="Y175" s="293"/>
      <c r="Z175" s="293"/>
      <c r="AA175" s="293"/>
      <c r="AB175" s="293"/>
      <c r="AC175" s="293"/>
      <c r="AD175" s="293"/>
      <c r="AE175" s="293"/>
      <c r="AF175" s="293"/>
      <c r="AG175" s="293"/>
      <c r="AH175" s="293"/>
      <c r="AI175" s="293"/>
      <c r="AJ175" s="293"/>
      <c r="AK175" s="293"/>
      <c r="AL175" s="293"/>
      <c r="AM175" s="293"/>
      <c r="AN175" s="293"/>
      <c r="AO175" s="293"/>
      <c r="AP175" s="293"/>
      <c r="AQ175" s="293"/>
    </row>
    <row r="176" spans="2:43" x14ac:dyDescent="0.2">
      <c r="B176" s="293"/>
      <c r="C176" s="293"/>
      <c r="D176" s="293"/>
      <c r="E176" s="293"/>
      <c r="F176" s="293"/>
      <c r="G176" s="293"/>
      <c r="H176" s="293"/>
      <c r="I176" s="293"/>
      <c r="J176" s="293"/>
      <c r="K176" s="293"/>
      <c r="L176" s="293"/>
      <c r="M176" s="450"/>
      <c r="N176" s="293"/>
      <c r="O176" s="293"/>
      <c r="P176" s="293"/>
      <c r="Q176" s="293"/>
      <c r="R176" s="451"/>
      <c r="S176" s="451"/>
      <c r="T176" s="293"/>
      <c r="U176" s="293"/>
      <c r="V176" s="293"/>
      <c r="W176" s="293"/>
      <c r="X176" s="293"/>
      <c r="Y176" s="293"/>
      <c r="Z176" s="293"/>
      <c r="AA176" s="293"/>
      <c r="AB176" s="293"/>
      <c r="AC176" s="293"/>
      <c r="AD176" s="293"/>
      <c r="AE176" s="293"/>
      <c r="AF176" s="293"/>
      <c r="AG176" s="293"/>
      <c r="AH176" s="293"/>
      <c r="AI176" s="293"/>
      <c r="AJ176" s="293"/>
      <c r="AK176" s="293"/>
      <c r="AL176" s="293"/>
      <c r="AM176" s="293"/>
      <c r="AN176" s="293"/>
      <c r="AO176" s="293"/>
      <c r="AP176" s="293"/>
      <c r="AQ176" s="293"/>
    </row>
    <row r="177" spans="2:43" x14ac:dyDescent="0.2">
      <c r="B177" s="293"/>
      <c r="C177" s="293"/>
      <c r="D177" s="293"/>
      <c r="E177" s="293"/>
      <c r="F177" s="293"/>
      <c r="G177" s="293"/>
      <c r="H177" s="293"/>
      <c r="I177" s="293"/>
      <c r="J177" s="293"/>
      <c r="K177" s="293"/>
      <c r="L177" s="293"/>
      <c r="M177" s="450"/>
      <c r="N177" s="293"/>
      <c r="O177" s="293"/>
      <c r="P177" s="293"/>
      <c r="Q177" s="293"/>
      <c r="R177" s="451"/>
      <c r="S177" s="451"/>
      <c r="T177" s="293"/>
      <c r="U177" s="293"/>
      <c r="V177" s="293"/>
      <c r="W177" s="293"/>
      <c r="X177" s="293"/>
      <c r="Y177" s="293"/>
      <c r="Z177" s="293"/>
      <c r="AA177" s="293"/>
      <c r="AB177" s="293"/>
      <c r="AC177" s="293"/>
      <c r="AD177" s="293"/>
      <c r="AE177" s="293"/>
      <c r="AF177" s="293"/>
      <c r="AG177" s="293"/>
      <c r="AH177" s="293"/>
      <c r="AI177" s="293"/>
      <c r="AJ177" s="293"/>
      <c r="AK177" s="293"/>
      <c r="AL177" s="293"/>
      <c r="AM177" s="293"/>
      <c r="AN177" s="293"/>
      <c r="AO177" s="293"/>
      <c r="AP177" s="293"/>
      <c r="AQ177" s="293"/>
    </row>
    <row r="178" spans="2:43" x14ac:dyDescent="0.2">
      <c r="B178" s="293"/>
      <c r="C178" s="293"/>
      <c r="D178" s="293"/>
      <c r="E178" s="293"/>
      <c r="F178" s="293"/>
      <c r="G178" s="293"/>
      <c r="H178" s="293"/>
      <c r="I178" s="293"/>
      <c r="J178" s="293"/>
      <c r="K178" s="293"/>
      <c r="L178" s="293"/>
      <c r="M178" s="450"/>
      <c r="N178" s="293"/>
      <c r="O178" s="293"/>
      <c r="P178" s="293"/>
      <c r="Q178" s="293"/>
      <c r="R178" s="451"/>
      <c r="S178" s="451"/>
      <c r="T178" s="293"/>
      <c r="U178" s="293"/>
      <c r="V178" s="293"/>
      <c r="W178" s="293"/>
      <c r="X178" s="293"/>
      <c r="Y178" s="293"/>
      <c r="Z178" s="293"/>
      <c r="AA178" s="293"/>
      <c r="AB178" s="293"/>
      <c r="AC178" s="293"/>
      <c r="AD178" s="293"/>
      <c r="AE178" s="293"/>
      <c r="AF178" s="293"/>
      <c r="AG178" s="293"/>
      <c r="AH178" s="293"/>
      <c r="AI178" s="293"/>
      <c r="AJ178" s="293"/>
      <c r="AK178" s="293"/>
      <c r="AL178" s="293"/>
      <c r="AM178" s="293"/>
      <c r="AN178" s="293"/>
      <c r="AO178" s="293"/>
      <c r="AP178" s="293"/>
      <c r="AQ178" s="293"/>
    </row>
    <row r="179" spans="2:43" x14ac:dyDescent="0.2">
      <c r="B179" s="293"/>
      <c r="C179" s="293"/>
      <c r="D179" s="293"/>
      <c r="E179" s="293"/>
      <c r="F179" s="293"/>
      <c r="G179" s="293"/>
      <c r="H179" s="293"/>
      <c r="I179" s="293"/>
      <c r="J179" s="293"/>
      <c r="K179" s="293"/>
      <c r="L179" s="293"/>
      <c r="M179" s="450"/>
      <c r="N179" s="293"/>
      <c r="O179" s="293"/>
      <c r="P179" s="293"/>
      <c r="Q179" s="293"/>
      <c r="R179" s="451"/>
      <c r="S179" s="451"/>
      <c r="T179" s="293"/>
      <c r="U179" s="293"/>
      <c r="V179" s="293"/>
      <c r="W179" s="293"/>
      <c r="X179" s="293"/>
      <c r="Y179" s="293"/>
      <c r="Z179" s="293"/>
      <c r="AA179" s="293"/>
      <c r="AB179" s="293"/>
      <c r="AC179" s="293"/>
      <c r="AD179" s="293"/>
      <c r="AE179" s="293"/>
      <c r="AF179" s="293"/>
      <c r="AG179" s="293"/>
      <c r="AH179" s="293"/>
      <c r="AI179" s="293"/>
      <c r="AJ179" s="293"/>
      <c r="AK179" s="293"/>
      <c r="AL179" s="293"/>
      <c r="AM179" s="293"/>
      <c r="AN179" s="293"/>
      <c r="AO179" s="293"/>
      <c r="AP179" s="293"/>
      <c r="AQ179" s="293"/>
    </row>
    <row r="180" spans="2:43" x14ac:dyDescent="0.2">
      <c r="B180" s="293"/>
      <c r="C180" s="293"/>
      <c r="D180" s="293"/>
      <c r="E180" s="293"/>
      <c r="F180" s="293"/>
      <c r="G180" s="293"/>
      <c r="H180" s="293"/>
      <c r="I180" s="293"/>
      <c r="J180" s="293"/>
      <c r="K180" s="293"/>
      <c r="L180" s="293"/>
      <c r="M180" s="450"/>
      <c r="N180" s="293"/>
      <c r="O180" s="293"/>
      <c r="P180" s="293"/>
      <c r="Q180" s="293"/>
      <c r="R180" s="451"/>
      <c r="S180" s="451"/>
      <c r="T180" s="293"/>
      <c r="U180" s="293"/>
      <c r="V180" s="293"/>
      <c r="W180" s="293"/>
      <c r="X180" s="293"/>
      <c r="Y180" s="293"/>
      <c r="Z180" s="293"/>
      <c r="AA180" s="293"/>
      <c r="AB180" s="293"/>
      <c r="AC180" s="293"/>
      <c r="AD180" s="293"/>
      <c r="AE180" s="293"/>
      <c r="AF180" s="293"/>
      <c r="AG180" s="293"/>
      <c r="AH180" s="293"/>
      <c r="AI180" s="293"/>
      <c r="AJ180" s="293"/>
      <c r="AK180" s="293"/>
      <c r="AL180" s="293"/>
      <c r="AM180" s="293"/>
      <c r="AN180" s="293"/>
      <c r="AO180" s="293"/>
      <c r="AP180" s="293"/>
      <c r="AQ180" s="293"/>
    </row>
    <row r="181" spans="2:43" x14ac:dyDescent="0.2">
      <c r="B181" s="293"/>
      <c r="C181" s="293"/>
      <c r="D181" s="293"/>
      <c r="E181" s="293"/>
      <c r="F181" s="293"/>
      <c r="G181" s="293"/>
      <c r="H181" s="293"/>
      <c r="I181" s="293"/>
      <c r="J181" s="293"/>
      <c r="K181" s="293"/>
      <c r="L181" s="293"/>
      <c r="M181" s="450"/>
      <c r="N181" s="293"/>
      <c r="O181" s="293"/>
      <c r="P181" s="293"/>
      <c r="Q181" s="293"/>
      <c r="R181" s="451"/>
      <c r="S181" s="451"/>
      <c r="T181" s="293"/>
      <c r="U181" s="293"/>
      <c r="V181" s="293"/>
      <c r="W181" s="293"/>
      <c r="X181" s="293"/>
      <c r="Y181" s="293"/>
      <c r="Z181" s="293"/>
      <c r="AA181" s="293"/>
      <c r="AB181" s="293"/>
      <c r="AC181" s="293"/>
      <c r="AD181" s="293"/>
      <c r="AE181" s="293"/>
      <c r="AF181" s="293"/>
      <c r="AG181" s="293"/>
      <c r="AH181" s="293"/>
      <c r="AI181" s="293"/>
      <c r="AJ181" s="293"/>
      <c r="AK181" s="293"/>
      <c r="AL181" s="293"/>
      <c r="AM181" s="293"/>
      <c r="AN181" s="293"/>
      <c r="AO181" s="293"/>
      <c r="AP181" s="293"/>
      <c r="AQ181" s="293"/>
    </row>
    <row r="182" spans="2:43" x14ac:dyDescent="0.2">
      <c r="B182" s="293"/>
      <c r="C182" s="293"/>
      <c r="D182" s="293"/>
      <c r="E182" s="293"/>
      <c r="F182" s="293"/>
      <c r="G182" s="293"/>
      <c r="H182" s="293"/>
      <c r="I182" s="293"/>
      <c r="J182" s="293"/>
      <c r="K182" s="293"/>
      <c r="L182" s="293"/>
      <c r="M182" s="450"/>
      <c r="N182" s="293"/>
      <c r="O182" s="293"/>
      <c r="P182" s="293"/>
      <c r="Q182" s="293"/>
      <c r="R182" s="451"/>
      <c r="S182" s="451"/>
      <c r="T182" s="293"/>
      <c r="U182" s="293"/>
      <c r="V182" s="293"/>
      <c r="W182" s="293"/>
      <c r="X182" s="293"/>
      <c r="Y182" s="293"/>
      <c r="Z182" s="293"/>
      <c r="AA182" s="293"/>
      <c r="AB182" s="293"/>
      <c r="AC182" s="293"/>
      <c r="AD182" s="293"/>
      <c r="AE182" s="293"/>
      <c r="AF182" s="293"/>
      <c r="AG182" s="293"/>
      <c r="AH182" s="293"/>
      <c r="AI182" s="293"/>
      <c r="AJ182" s="293"/>
      <c r="AK182" s="293"/>
      <c r="AL182" s="293"/>
      <c r="AM182" s="293"/>
      <c r="AN182" s="293"/>
      <c r="AO182" s="293"/>
      <c r="AP182" s="293"/>
      <c r="AQ182" s="293"/>
    </row>
    <row r="183" spans="2:43" x14ac:dyDescent="0.2">
      <c r="B183" s="293"/>
      <c r="C183" s="293"/>
      <c r="D183" s="293"/>
      <c r="E183" s="293"/>
      <c r="F183" s="293"/>
      <c r="G183" s="293"/>
      <c r="H183" s="293"/>
      <c r="I183" s="293"/>
      <c r="J183" s="293"/>
      <c r="K183" s="293"/>
      <c r="L183" s="293"/>
      <c r="M183" s="450"/>
      <c r="N183" s="293"/>
      <c r="O183" s="293"/>
      <c r="P183" s="293"/>
      <c r="Q183" s="293"/>
      <c r="R183" s="451"/>
      <c r="S183" s="451"/>
      <c r="T183" s="293"/>
      <c r="U183" s="293"/>
      <c r="V183" s="293"/>
      <c r="W183" s="293"/>
      <c r="X183" s="293"/>
      <c r="Y183" s="293"/>
      <c r="Z183" s="293"/>
      <c r="AA183" s="293"/>
      <c r="AB183" s="293"/>
      <c r="AC183" s="293"/>
      <c r="AD183" s="293"/>
      <c r="AE183" s="293"/>
      <c r="AF183" s="293"/>
      <c r="AG183" s="293"/>
      <c r="AH183" s="293"/>
      <c r="AI183" s="293"/>
      <c r="AJ183" s="293"/>
      <c r="AK183" s="293"/>
      <c r="AL183" s="293"/>
      <c r="AM183" s="293"/>
      <c r="AN183" s="293"/>
      <c r="AO183" s="293"/>
      <c r="AP183" s="293"/>
      <c r="AQ183" s="293"/>
    </row>
    <row r="184" spans="2:43" x14ac:dyDescent="0.2">
      <c r="B184" s="293"/>
      <c r="C184" s="293"/>
      <c r="D184" s="293"/>
      <c r="E184" s="293"/>
      <c r="F184" s="293"/>
      <c r="G184" s="293"/>
      <c r="H184" s="293"/>
      <c r="I184" s="293"/>
      <c r="J184" s="293"/>
      <c r="K184" s="293"/>
      <c r="L184" s="293"/>
      <c r="M184" s="450"/>
      <c r="N184" s="293"/>
      <c r="O184" s="293"/>
      <c r="P184" s="293"/>
      <c r="Q184" s="293"/>
      <c r="R184" s="451"/>
      <c r="S184" s="451"/>
      <c r="T184" s="293"/>
      <c r="U184" s="293"/>
      <c r="V184" s="293"/>
      <c r="W184" s="293"/>
      <c r="X184" s="293"/>
      <c r="Y184" s="293"/>
      <c r="Z184" s="293"/>
      <c r="AA184" s="293"/>
      <c r="AB184" s="293"/>
      <c r="AC184" s="293"/>
      <c r="AD184" s="293"/>
      <c r="AE184" s="293"/>
      <c r="AF184" s="293"/>
      <c r="AG184" s="293"/>
      <c r="AH184" s="293"/>
      <c r="AI184" s="293"/>
      <c r="AJ184" s="293"/>
      <c r="AK184" s="293"/>
      <c r="AL184" s="293"/>
      <c r="AM184" s="293"/>
      <c r="AN184" s="293"/>
      <c r="AO184" s="293"/>
      <c r="AP184" s="293"/>
      <c r="AQ184" s="293"/>
    </row>
    <row r="185" spans="2:43" x14ac:dyDescent="0.2">
      <c r="B185" s="293"/>
      <c r="C185" s="293"/>
      <c r="D185" s="293"/>
      <c r="E185" s="293"/>
      <c r="F185" s="293"/>
      <c r="G185" s="293"/>
      <c r="H185" s="293"/>
      <c r="I185" s="293"/>
      <c r="J185" s="293"/>
      <c r="K185" s="293"/>
      <c r="L185" s="293"/>
      <c r="M185" s="450"/>
      <c r="N185" s="293"/>
      <c r="O185" s="293"/>
      <c r="P185" s="293"/>
      <c r="Q185" s="293"/>
      <c r="R185" s="451"/>
      <c r="S185" s="451"/>
      <c r="T185" s="293"/>
      <c r="U185" s="293"/>
      <c r="V185" s="293"/>
      <c r="W185" s="293"/>
      <c r="X185" s="293"/>
      <c r="Y185" s="293"/>
      <c r="Z185" s="293"/>
      <c r="AA185" s="293"/>
      <c r="AB185" s="293"/>
      <c r="AC185" s="293"/>
      <c r="AD185" s="293"/>
      <c r="AE185" s="293"/>
      <c r="AF185" s="293"/>
      <c r="AG185" s="293"/>
      <c r="AH185" s="293"/>
      <c r="AI185" s="293"/>
      <c r="AJ185" s="293"/>
      <c r="AK185" s="293"/>
      <c r="AL185" s="293"/>
      <c r="AM185" s="293"/>
      <c r="AN185" s="293"/>
      <c r="AO185" s="293"/>
      <c r="AP185" s="293"/>
      <c r="AQ185" s="293"/>
    </row>
    <row r="186" spans="2:43" x14ac:dyDescent="0.2">
      <c r="B186" s="293"/>
      <c r="C186" s="293"/>
      <c r="D186" s="293"/>
      <c r="E186" s="293"/>
      <c r="F186" s="293"/>
      <c r="G186" s="293"/>
      <c r="H186" s="293"/>
      <c r="I186" s="293"/>
      <c r="J186" s="293"/>
      <c r="K186" s="293"/>
      <c r="L186" s="293"/>
      <c r="M186" s="450"/>
      <c r="N186" s="293"/>
      <c r="O186" s="293"/>
      <c r="P186" s="293"/>
      <c r="Q186" s="293"/>
      <c r="R186" s="451"/>
      <c r="S186" s="451"/>
      <c r="T186" s="293"/>
      <c r="U186" s="293"/>
      <c r="V186" s="293"/>
      <c r="W186" s="293"/>
      <c r="X186" s="293"/>
      <c r="Y186" s="293"/>
      <c r="Z186" s="293"/>
      <c r="AA186" s="293"/>
      <c r="AB186" s="293"/>
      <c r="AC186" s="293"/>
      <c r="AD186" s="293"/>
      <c r="AE186" s="293"/>
      <c r="AF186" s="293"/>
      <c r="AG186" s="293"/>
      <c r="AH186" s="293"/>
      <c r="AI186" s="293"/>
      <c r="AJ186" s="293"/>
      <c r="AK186" s="293"/>
      <c r="AL186" s="293"/>
      <c r="AM186" s="293"/>
      <c r="AN186" s="293"/>
      <c r="AO186" s="293"/>
      <c r="AP186" s="293"/>
      <c r="AQ186" s="293"/>
    </row>
    <row r="187" spans="2:43" x14ac:dyDescent="0.2">
      <c r="B187" s="293"/>
      <c r="C187" s="293"/>
      <c r="D187" s="293"/>
      <c r="E187" s="293"/>
      <c r="F187" s="293"/>
      <c r="G187" s="293"/>
      <c r="H187" s="293"/>
      <c r="I187" s="293"/>
      <c r="J187" s="293"/>
      <c r="K187" s="293"/>
      <c r="L187" s="293"/>
      <c r="M187" s="450"/>
      <c r="N187" s="293"/>
      <c r="O187" s="293"/>
      <c r="P187" s="293"/>
      <c r="Q187" s="293"/>
      <c r="R187" s="451"/>
      <c r="S187" s="451"/>
      <c r="T187" s="293"/>
      <c r="U187" s="293"/>
      <c r="V187" s="293"/>
      <c r="W187" s="293"/>
      <c r="X187" s="293"/>
      <c r="Y187" s="293"/>
      <c r="Z187" s="293"/>
      <c r="AA187" s="293"/>
      <c r="AB187" s="293"/>
      <c r="AC187" s="293"/>
      <c r="AD187" s="293"/>
      <c r="AE187" s="293"/>
      <c r="AF187" s="293"/>
      <c r="AG187" s="293"/>
      <c r="AH187" s="293"/>
      <c r="AI187" s="293"/>
      <c r="AJ187" s="293"/>
      <c r="AK187" s="293"/>
      <c r="AL187" s="293"/>
      <c r="AM187" s="293"/>
      <c r="AN187" s="293"/>
      <c r="AO187" s="293"/>
      <c r="AP187" s="293"/>
      <c r="AQ187" s="293"/>
    </row>
    <row r="188" spans="2:43" x14ac:dyDescent="0.2">
      <c r="B188" s="293"/>
      <c r="C188" s="293"/>
      <c r="D188" s="293"/>
      <c r="E188" s="293"/>
      <c r="F188" s="293"/>
      <c r="G188" s="293"/>
      <c r="H188" s="293"/>
      <c r="I188" s="293"/>
      <c r="J188" s="293"/>
      <c r="K188" s="293"/>
      <c r="L188" s="293"/>
      <c r="M188" s="450"/>
      <c r="N188" s="293"/>
      <c r="O188" s="293"/>
      <c r="P188" s="293"/>
      <c r="Q188" s="293"/>
      <c r="R188" s="451"/>
      <c r="S188" s="451"/>
      <c r="T188" s="293"/>
      <c r="U188" s="293"/>
      <c r="V188" s="293"/>
      <c r="W188" s="293"/>
      <c r="X188" s="293"/>
      <c r="Y188" s="293"/>
      <c r="Z188" s="293"/>
      <c r="AA188" s="293"/>
      <c r="AB188" s="293"/>
      <c r="AC188" s="293"/>
      <c r="AD188" s="293"/>
      <c r="AE188" s="293"/>
      <c r="AF188" s="293"/>
      <c r="AG188" s="293"/>
      <c r="AH188" s="293"/>
      <c r="AI188" s="293"/>
      <c r="AJ188" s="293"/>
      <c r="AK188" s="293"/>
      <c r="AL188" s="293"/>
      <c r="AM188" s="293"/>
      <c r="AN188" s="293"/>
      <c r="AO188" s="293"/>
      <c r="AP188" s="293"/>
      <c r="AQ188" s="293"/>
    </row>
    <row r="189" spans="2:43" x14ac:dyDescent="0.2">
      <c r="B189" s="293"/>
      <c r="C189" s="293"/>
      <c r="D189" s="293"/>
      <c r="E189" s="293"/>
      <c r="F189" s="293"/>
      <c r="G189" s="293"/>
      <c r="H189" s="293"/>
      <c r="I189" s="293"/>
      <c r="J189" s="293"/>
      <c r="K189" s="293"/>
      <c r="L189" s="293"/>
      <c r="M189" s="450"/>
      <c r="N189" s="293"/>
      <c r="O189" s="293"/>
      <c r="P189" s="293"/>
      <c r="Q189" s="293"/>
      <c r="R189" s="451"/>
      <c r="S189" s="451"/>
      <c r="T189" s="293"/>
      <c r="U189" s="293"/>
      <c r="V189" s="293"/>
      <c r="W189" s="293"/>
      <c r="X189" s="293"/>
      <c r="Y189" s="293"/>
      <c r="Z189" s="293"/>
      <c r="AA189" s="293"/>
      <c r="AB189" s="293"/>
      <c r="AC189" s="293"/>
      <c r="AD189" s="293"/>
      <c r="AE189" s="293"/>
      <c r="AF189" s="293"/>
      <c r="AG189" s="293"/>
      <c r="AH189" s="293"/>
      <c r="AI189" s="293"/>
      <c r="AJ189" s="293"/>
      <c r="AK189" s="293"/>
      <c r="AL189" s="293"/>
      <c r="AM189" s="293"/>
      <c r="AN189" s="293"/>
      <c r="AO189" s="293"/>
      <c r="AP189" s="293"/>
      <c r="AQ189" s="293"/>
    </row>
    <row r="190" spans="2:43" x14ac:dyDescent="0.2">
      <c r="B190" s="293"/>
      <c r="C190" s="293"/>
      <c r="D190" s="293"/>
      <c r="E190" s="293"/>
      <c r="F190" s="293"/>
      <c r="G190" s="293"/>
      <c r="H190" s="293"/>
      <c r="I190" s="293"/>
      <c r="J190" s="293"/>
      <c r="K190" s="293"/>
      <c r="L190" s="293"/>
      <c r="M190" s="450"/>
      <c r="N190" s="293"/>
      <c r="O190" s="293"/>
      <c r="P190" s="293"/>
      <c r="Q190" s="293"/>
      <c r="R190" s="451"/>
      <c r="S190" s="451"/>
      <c r="T190" s="293"/>
      <c r="U190" s="293"/>
      <c r="V190" s="293"/>
      <c r="W190" s="293"/>
      <c r="X190" s="293"/>
      <c r="Y190" s="293"/>
      <c r="Z190" s="293"/>
      <c r="AA190" s="293"/>
      <c r="AB190" s="293"/>
      <c r="AC190" s="293"/>
      <c r="AD190" s="293"/>
      <c r="AE190" s="293"/>
      <c r="AF190" s="293"/>
      <c r="AG190" s="293"/>
      <c r="AH190" s="293"/>
      <c r="AI190" s="293"/>
      <c r="AJ190" s="293"/>
      <c r="AK190" s="293"/>
      <c r="AL190" s="293"/>
      <c r="AM190" s="293"/>
      <c r="AN190" s="293"/>
      <c r="AO190" s="293"/>
      <c r="AP190" s="293"/>
      <c r="AQ190" s="293"/>
    </row>
    <row r="191" spans="2:43" x14ac:dyDescent="0.2">
      <c r="B191" s="293"/>
      <c r="C191" s="293"/>
      <c r="D191" s="293"/>
      <c r="E191" s="293"/>
      <c r="F191" s="293"/>
      <c r="G191" s="293"/>
      <c r="H191" s="293"/>
      <c r="I191" s="293"/>
      <c r="J191" s="293"/>
      <c r="K191" s="293"/>
      <c r="L191" s="293"/>
      <c r="M191" s="450"/>
      <c r="N191" s="293"/>
      <c r="O191" s="293"/>
      <c r="P191" s="293"/>
      <c r="Q191" s="293"/>
      <c r="R191" s="451"/>
      <c r="S191" s="451"/>
      <c r="T191" s="293"/>
      <c r="U191" s="293"/>
      <c r="V191" s="293"/>
      <c r="W191" s="293"/>
      <c r="X191" s="293"/>
      <c r="Y191" s="293"/>
      <c r="Z191" s="293"/>
      <c r="AA191" s="293"/>
      <c r="AB191" s="293"/>
      <c r="AC191" s="293"/>
      <c r="AD191" s="293"/>
      <c r="AE191" s="293"/>
      <c r="AF191" s="293"/>
      <c r="AG191" s="293"/>
      <c r="AH191" s="293"/>
      <c r="AI191" s="293"/>
      <c r="AJ191" s="293"/>
      <c r="AK191" s="293"/>
      <c r="AL191" s="293"/>
      <c r="AM191" s="293"/>
      <c r="AN191" s="293"/>
      <c r="AO191" s="293"/>
      <c r="AP191" s="293"/>
      <c r="AQ191" s="293"/>
    </row>
    <row r="192" spans="2:43" x14ac:dyDescent="0.2">
      <c r="B192" s="293"/>
      <c r="C192" s="293"/>
      <c r="D192" s="293"/>
      <c r="E192" s="293"/>
      <c r="F192" s="293"/>
      <c r="G192" s="293"/>
      <c r="H192" s="293"/>
      <c r="I192" s="293"/>
      <c r="J192" s="293"/>
      <c r="K192" s="293"/>
      <c r="L192" s="293"/>
      <c r="M192" s="450"/>
      <c r="N192" s="293"/>
      <c r="O192" s="293"/>
      <c r="P192" s="293"/>
      <c r="Q192" s="293"/>
      <c r="R192" s="451"/>
      <c r="S192" s="451"/>
      <c r="T192" s="293"/>
      <c r="U192" s="293"/>
      <c r="V192" s="293"/>
      <c r="W192" s="293"/>
      <c r="X192" s="293"/>
      <c r="Y192" s="293"/>
      <c r="Z192" s="293"/>
      <c r="AA192" s="293"/>
      <c r="AB192" s="293"/>
      <c r="AC192" s="293"/>
      <c r="AD192" s="293"/>
      <c r="AE192" s="293"/>
      <c r="AF192" s="293"/>
      <c r="AG192" s="293"/>
      <c r="AH192" s="293"/>
      <c r="AI192" s="293"/>
      <c r="AJ192" s="293"/>
      <c r="AK192" s="293"/>
      <c r="AL192" s="293"/>
      <c r="AM192" s="293"/>
      <c r="AN192" s="293"/>
      <c r="AO192" s="293"/>
      <c r="AP192" s="293"/>
      <c r="AQ192" s="293"/>
    </row>
    <row r="193" spans="2:43" x14ac:dyDescent="0.2">
      <c r="B193" s="293"/>
      <c r="C193" s="293"/>
      <c r="D193" s="293"/>
      <c r="E193" s="293"/>
      <c r="F193" s="293"/>
      <c r="G193" s="293"/>
      <c r="H193" s="293"/>
      <c r="I193" s="293"/>
      <c r="J193" s="293"/>
      <c r="K193" s="293"/>
      <c r="L193" s="293"/>
      <c r="M193" s="450"/>
      <c r="N193" s="293"/>
      <c r="O193" s="293"/>
      <c r="P193" s="293"/>
      <c r="Q193" s="293"/>
      <c r="R193" s="451"/>
      <c r="S193" s="451"/>
      <c r="T193" s="293"/>
      <c r="U193" s="293"/>
      <c r="V193" s="293"/>
      <c r="W193" s="293"/>
      <c r="X193" s="293"/>
      <c r="Y193" s="293"/>
      <c r="Z193" s="293"/>
      <c r="AA193" s="293"/>
      <c r="AB193" s="293"/>
      <c r="AC193" s="293"/>
      <c r="AD193" s="293"/>
      <c r="AE193" s="293"/>
      <c r="AF193" s="293"/>
      <c r="AG193" s="293"/>
      <c r="AH193" s="293"/>
      <c r="AI193" s="293"/>
      <c r="AJ193" s="293"/>
      <c r="AK193" s="293"/>
      <c r="AL193" s="293"/>
      <c r="AM193" s="293"/>
      <c r="AN193" s="293"/>
      <c r="AO193" s="293"/>
      <c r="AP193" s="293"/>
      <c r="AQ193" s="293"/>
    </row>
    <row r="194" spans="2:43" x14ac:dyDescent="0.2">
      <c r="B194" s="293"/>
      <c r="C194" s="293"/>
      <c r="D194" s="293"/>
      <c r="E194" s="293"/>
      <c r="F194" s="293"/>
      <c r="G194" s="293"/>
      <c r="H194" s="293"/>
      <c r="I194" s="293"/>
      <c r="J194" s="293"/>
      <c r="K194" s="293"/>
      <c r="L194" s="293"/>
      <c r="M194" s="450"/>
      <c r="N194" s="293"/>
      <c r="O194" s="293"/>
      <c r="P194" s="293"/>
      <c r="Q194" s="293"/>
      <c r="R194" s="451"/>
      <c r="S194" s="451"/>
      <c r="T194" s="293"/>
      <c r="U194" s="293"/>
      <c r="V194" s="293"/>
      <c r="W194" s="293"/>
      <c r="X194" s="293"/>
      <c r="Y194" s="293"/>
      <c r="Z194" s="293"/>
      <c r="AA194" s="293"/>
      <c r="AB194" s="293"/>
      <c r="AC194" s="293"/>
      <c r="AD194" s="293"/>
      <c r="AE194" s="293"/>
      <c r="AF194" s="293"/>
      <c r="AG194" s="293"/>
      <c r="AH194" s="293"/>
      <c r="AI194" s="293"/>
      <c r="AJ194" s="293"/>
      <c r="AK194" s="293"/>
      <c r="AL194" s="293"/>
      <c r="AM194" s="293"/>
      <c r="AN194" s="293"/>
      <c r="AO194" s="293"/>
      <c r="AP194" s="293"/>
      <c r="AQ194" s="293"/>
    </row>
    <row r="195" spans="2:43" x14ac:dyDescent="0.2">
      <c r="B195" s="293"/>
      <c r="C195" s="293"/>
      <c r="D195" s="293"/>
      <c r="E195" s="293"/>
      <c r="F195" s="293"/>
      <c r="G195" s="293"/>
      <c r="H195" s="293"/>
      <c r="I195" s="293"/>
      <c r="J195" s="293"/>
      <c r="K195" s="293"/>
      <c r="L195" s="293"/>
      <c r="M195" s="450"/>
      <c r="N195" s="293"/>
      <c r="O195" s="293"/>
      <c r="P195" s="293"/>
      <c r="Q195" s="293"/>
      <c r="R195" s="451"/>
      <c r="S195" s="451"/>
      <c r="T195" s="293"/>
      <c r="U195" s="293"/>
      <c r="V195" s="293"/>
      <c r="W195" s="293"/>
      <c r="X195" s="293"/>
      <c r="Y195" s="293"/>
      <c r="Z195" s="293"/>
      <c r="AA195" s="293"/>
      <c r="AB195" s="293"/>
      <c r="AC195" s="293"/>
      <c r="AD195" s="293"/>
      <c r="AE195" s="293"/>
      <c r="AF195" s="293"/>
      <c r="AG195" s="293"/>
      <c r="AH195" s="293"/>
      <c r="AI195" s="293"/>
      <c r="AJ195" s="293"/>
      <c r="AK195" s="293"/>
      <c r="AL195" s="293"/>
      <c r="AM195" s="293"/>
      <c r="AN195" s="293"/>
      <c r="AO195" s="293"/>
      <c r="AP195" s="293"/>
      <c r="AQ195" s="293"/>
    </row>
    <row r="196" spans="2:43" x14ac:dyDescent="0.2">
      <c r="B196" s="293"/>
      <c r="C196" s="293"/>
      <c r="D196" s="293"/>
      <c r="E196" s="293"/>
      <c r="F196" s="293"/>
      <c r="G196" s="293"/>
      <c r="H196" s="293"/>
      <c r="I196" s="293"/>
      <c r="J196" s="293"/>
      <c r="K196" s="293"/>
      <c r="L196" s="293"/>
      <c r="M196" s="450"/>
      <c r="N196" s="293"/>
      <c r="O196" s="293"/>
      <c r="P196" s="293"/>
      <c r="Q196" s="293"/>
      <c r="R196" s="451"/>
      <c r="S196" s="451"/>
      <c r="T196" s="293"/>
      <c r="U196" s="293"/>
      <c r="V196" s="293"/>
      <c r="W196" s="293"/>
      <c r="X196" s="293"/>
      <c r="Y196" s="293"/>
      <c r="Z196" s="293"/>
      <c r="AA196" s="293"/>
      <c r="AB196" s="293"/>
      <c r="AC196" s="293"/>
      <c r="AD196" s="293"/>
      <c r="AE196" s="293"/>
      <c r="AF196" s="293"/>
      <c r="AG196" s="293"/>
      <c r="AH196" s="293"/>
      <c r="AI196" s="293"/>
      <c r="AJ196" s="293"/>
      <c r="AK196" s="293"/>
      <c r="AL196" s="293"/>
      <c r="AM196" s="293"/>
      <c r="AN196" s="293"/>
      <c r="AO196" s="293"/>
      <c r="AP196" s="293"/>
      <c r="AQ196" s="293"/>
    </row>
    <row r="197" spans="2:43" x14ac:dyDescent="0.2">
      <c r="B197" s="293"/>
      <c r="C197" s="293"/>
      <c r="D197" s="293"/>
      <c r="E197" s="293"/>
      <c r="F197" s="293"/>
      <c r="G197" s="293"/>
      <c r="H197" s="293"/>
      <c r="I197" s="293"/>
      <c r="J197" s="293"/>
      <c r="K197" s="293"/>
      <c r="L197" s="293"/>
      <c r="M197" s="450"/>
      <c r="N197" s="293"/>
      <c r="O197" s="293"/>
      <c r="P197" s="293"/>
      <c r="Q197" s="293"/>
      <c r="R197" s="451"/>
      <c r="S197" s="451"/>
      <c r="T197" s="293"/>
      <c r="U197" s="293"/>
      <c r="V197" s="293"/>
      <c r="W197" s="293"/>
      <c r="X197" s="293"/>
      <c r="Y197" s="293"/>
      <c r="Z197" s="293"/>
      <c r="AA197" s="293"/>
      <c r="AB197" s="293"/>
      <c r="AC197" s="293"/>
      <c r="AD197" s="293"/>
      <c r="AE197" s="293"/>
      <c r="AF197" s="293"/>
      <c r="AG197" s="293"/>
      <c r="AH197" s="293"/>
      <c r="AI197" s="293"/>
      <c r="AJ197" s="293"/>
      <c r="AK197" s="293"/>
      <c r="AL197" s="293"/>
      <c r="AM197" s="293"/>
      <c r="AN197" s="293"/>
      <c r="AO197" s="293"/>
      <c r="AP197" s="293"/>
      <c r="AQ197" s="293"/>
    </row>
    <row r="198" spans="2:43" x14ac:dyDescent="0.2">
      <c r="B198" s="293"/>
      <c r="C198" s="293"/>
      <c r="D198" s="293"/>
      <c r="E198" s="293"/>
      <c r="F198" s="293"/>
      <c r="G198" s="293"/>
      <c r="H198" s="293"/>
      <c r="I198" s="293"/>
      <c r="J198" s="293"/>
      <c r="K198" s="293"/>
      <c r="L198" s="293"/>
      <c r="M198" s="450"/>
      <c r="N198" s="293"/>
      <c r="O198" s="293"/>
      <c r="P198" s="293"/>
      <c r="Q198" s="293"/>
      <c r="R198" s="451"/>
      <c r="S198" s="451"/>
      <c r="T198" s="293"/>
      <c r="U198" s="293"/>
      <c r="V198" s="293"/>
      <c r="W198" s="293"/>
      <c r="X198" s="293"/>
      <c r="Y198" s="293"/>
      <c r="Z198" s="293"/>
      <c r="AA198" s="293"/>
      <c r="AB198" s="293"/>
      <c r="AC198" s="293"/>
      <c r="AD198" s="293"/>
      <c r="AE198" s="293"/>
      <c r="AF198" s="293"/>
      <c r="AG198" s="293"/>
      <c r="AH198" s="293"/>
      <c r="AI198" s="293"/>
      <c r="AJ198" s="293"/>
      <c r="AK198" s="293"/>
      <c r="AL198" s="293"/>
      <c r="AM198" s="293"/>
      <c r="AN198" s="293"/>
      <c r="AO198" s="293"/>
      <c r="AP198" s="293"/>
      <c r="AQ198" s="293"/>
    </row>
    <row r="199" spans="2:43" x14ac:dyDescent="0.2">
      <c r="B199" s="293"/>
      <c r="C199" s="293"/>
      <c r="D199" s="293"/>
      <c r="E199" s="293"/>
      <c r="F199" s="293"/>
      <c r="G199" s="293"/>
      <c r="H199" s="293"/>
      <c r="I199" s="293"/>
      <c r="J199" s="293"/>
      <c r="K199" s="293"/>
      <c r="L199" s="293"/>
      <c r="M199" s="450"/>
      <c r="N199" s="293"/>
      <c r="O199" s="293"/>
      <c r="P199" s="293"/>
      <c r="Q199" s="293"/>
      <c r="R199" s="451"/>
      <c r="S199" s="451"/>
      <c r="T199" s="293"/>
      <c r="U199" s="293"/>
      <c r="V199" s="293"/>
      <c r="W199" s="293"/>
      <c r="X199" s="293"/>
      <c r="Y199" s="293"/>
      <c r="Z199" s="293"/>
      <c r="AA199" s="293"/>
      <c r="AB199" s="293"/>
      <c r="AC199" s="293"/>
      <c r="AD199" s="293"/>
      <c r="AE199" s="293"/>
      <c r="AF199" s="293"/>
      <c r="AG199" s="293"/>
      <c r="AH199" s="293"/>
      <c r="AI199" s="293"/>
      <c r="AJ199" s="293"/>
      <c r="AK199" s="293"/>
      <c r="AL199" s="293"/>
      <c r="AM199" s="293"/>
      <c r="AN199" s="293"/>
      <c r="AO199" s="293"/>
      <c r="AP199" s="293"/>
      <c r="AQ199" s="293"/>
    </row>
    <row r="200" spans="2:43" x14ac:dyDescent="0.2">
      <c r="B200" s="293"/>
      <c r="C200" s="293"/>
      <c r="D200" s="293"/>
      <c r="E200" s="293"/>
      <c r="F200" s="293"/>
      <c r="G200" s="293"/>
      <c r="H200" s="293"/>
      <c r="I200" s="293"/>
      <c r="J200" s="293"/>
      <c r="K200" s="293"/>
      <c r="L200" s="293"/>
      <c r="M200" s="450"/>
      <c r="N200" s="293"/>
      <c r="O200" s="293"/>
      <c r="P200" s="293"/>
      <c r="Q200" s="293"/>
      <c r="R200" s="451"/>
      <c r="S200" s="451"/>
      <c r="T200" s="293"/>
      <c r="U200" s="293"/>
      <c r="V200" s="293"/>
      <c r="W200" s="293"/>
      <c r="X200" s="293"/>
      <c r="Y200" s="293"/>
      <c r="Z200" s="293"/>
      <c r="AA200" s="293"/>
      <c r="AB200" s="293"/>
      <c r="AC200" s="293"/>
      <c r="AD200" s="293"/>
      <c r="AE200" s="293"/>
      <c r="AF200" s="293"/>
      <c r="AG200" s="293"/>
      <c r="AH200" s="293"/>
      <c r="AI200" s="293"/>
      <c r="AJ200" s="293"/>
      <c r="AK200" s="293"/>
      <c r="AL200" s="293"/>
      <c r="AM200" s="293"/>
      <c r="AN200" s="293"/>
      <c r="AO200" s="293"/>
      <c r="AP200" s="293"/>
      <c r="AQ200" s="293"/>
    </row>
    <row r="201" spans="2:43" x14ac:dyDescent="0.2">
      <c r="B201" s="293"/>
      <c r="C201" s="293"/>
      <c r="D201" s="293"/>
      <c r="E201" s="293"/>
      <c r="F201" s="293"/>
      <c r="G201" s="293"/>
      <c r="H201" s="293"/>
      <c r="I201" s="293"/>
      <c r="J201" s="293"/>
      <c r="K201" s="293"/>
      <c r="L201" s="293"/>
      <c r="M201" s="450"/>
      <c r="N201" s="293"/>
      <c r="O201" s="293"/>
      <c r="P201" s="293"/>
      <c r="Q201" s="293"/>
      <c r="R201" s="451"/>
      <c r="S201" s="451"/>
      <c r="T201" s="293"/>
      <c r="U201" s="293"/>
      <c r="V201" s="293"/>
      <c r="W201" s="293"/>
      <c r="X201" s="293"/>
      <c r="Y201" s="293"/>
      <c r="Z201" s="293"/>
      <c r="AA201" s="293"/>
      <c r="AB201" s="293"/>
      <c r="AC201" s="293"/>
      <c r="AD201" s="293"/>
      <c r="AE201" s="293"/>
      <c r="AF201" s="293"/>
      <c r="AG201" s="293"/>
      <c r="AH201" s="293"/>
      <c r="AI201" s="293"/>
      <c r="AJ201" s="293"/>
      <c r="AK201" s="293"/>
      <c r="AL201" s="293"/>
      <c r="AM201" s="293"/>
      <c r="AN201" s="293"/>
      <c r="AO201" s="293"/>
      <c r="AP201" s="293"/>
      <c r="AQ201" s="293"/>
    </row>
    <row r="202" spans="2:43" x14ac:dyDescent="0.2">
      <c r="B202" s="293"/>
      <c r="C202" s="293"/>
      <c r="D202" s="293"/>
      <c r="E202" s="293"/>
      <c r="F202" s="293"/>
      <c r="G202" s="293"/>
      <c r="H202" s="293"/>
      <c r="I202" s="293"/>
      <c r="J202" s="293"/>
      <c r="K202" s="293"/>
      <c r="L202" s="293"/>
      <c r="M202" s="450"/>
      <c r="N202" s="293"/>
      <c r="O202" s="293"/>
      <c r="P202" s="293"/>
      <c r="Q202" s="293"/>
      <c r="R202" s="451"/>
      <c r="S202" s="451"/>
      <c r="T202" s="293"/>
      <c r="U202" s="293"/>
      <c r="V202" s="293"/>
      <c r="W202" s="293"/>
      <c r="X202" s="293"/>
      <c r="Y202" s="293"/>
      <c r="Z202" s="293"/>
      <c r="AA202" s="293"/>
      <c r="AB202" s="293"/>
      <c r="AC202" s="293"/>
      <c r="AD202" s="293"/>
      <c r="AE202" s="293"/>
      <c r="AF202" s="293"/>
      <c r="AG202" s="293"/>
      <c r="AH202" s="293"/>
      <c r="AI202" s="293"/>
      <c r="AJ202" s="293"/>
      <c r="AK202" s="293"/>
      <c r="AL202" s="293"/>
      <c r="AM202" s="293"/>
      <c r="AN202" s="293"/>
      <c r="AO202" s="293"/>
      <c r="AP202" s="293"/>
      <c r="AQ202" s="293"/>
    </row>
    <row r="203" spans="2:43" x14ac:dyDescent="0.2">
      <c r="B203" s="293"/>
      <c r="C203" s="293"/>
      <c r="D203" s="293"/>
      <c r="E203" s="293"/>
      <c r="F203" s="293"/>
      <c r="G203" s="293"/>
      <c r="H203" s="293"/>
      <c r="I203" s="293"/>
      <c r="J203" s="293"/>
      <c r="K203" s="293"/>
      <c r="L203" s="293"/>
      <c r="M203" s="450"/>
      <c r="N203" s="293"/>
      <c r="O203" s="293"/>
      <c r="P203" s="293"/>
      <c r="Q203" s="293"/>
      <c r="R203" s="451"/>
      <c r="S203" s="451"/>
      <c r="T203" s="293"/>
      <c r="U203" s="293"/>
      <c r="V203" s="293"/>
      <c r="W203" s="293"/>
      <c r="X203" s="293"/>
      <c r="Y203" s="293"/>
      <c r="Z203" s="293"/>
      <c r="AA203" s="293"/>
      <c r="AB203" s="293"/>
      <c r="AC203" s="293"/>
      <c r="AD203" s="293"/>
      <c r="AE203" s="293"/>
      <c r="AF203" s="293"/>
      <c r="AG203" s="293"/>
      <c r="AH203" s="293"/>
      <c r="AI203" s="293"/>
      <c r="AJ203" s="293"/>
      <c r="AK203" s="293"/>
      <c r="AL203" s="293"/>
      <c r="AM203" s="293"/>
      <c r="AN203" s="293"/>
      <c r="AO203" s="293"/>
      <c r="AP203" s="293"/>
      <c r="AQ203" s="293"/>
    </row>
    <row r="204" spans="2:43" x14ac:dyDescent="0.2">
      <c r="B204" s="293"/>
      <c r="C204" s="293"/>
      <c r="D204" s="293"/>
      <c r="E204" s="293"/>
      <c r="F204" s="293"/>
      <c r="G204" s="293"/>
      <c r="H204" s="293"/>
      <c r="I204" s="293"/>
      <c r="J204" s="293"/>
      <c r="K204" s="293"/>
      <c r="L204" s="293"/>
      <c r="M204" s="450"/>
      <c r="N204" s="293"/>
      <c r="O204" s="293"/>
      <c r="P204" s="293"/>
      <c r="Q204" s="293"/>
      <c r="R204" s="451"/>
      <c r="S204" s="451"/>
      <c r="T204" s="293"/>
      <c r="U204" s="293"/>
      <c r="V204" s="293"/>
      <c r="W204" s="293"/>
      <c r="X204" s="293"/>
      <c r="Y204" s="293"/>
      <c r="Z204" s="293"/>
      <c r="AA204" s="293"/>
      <c r="AB204" s="293"/>
      <c r="AC204" s="293"/>
      <c r="AD204" s="293"/>
      <c r="AE204" s="293"/>
      <c r="AF204" s="293"/>
      <c r="AG204" s="293"/>
      <c r="AH204" s="293"/>
      <c r="AI204" s="293"/>
      <c r="AJ204" s="293"/>
      <c r="AK204" s="293"/>
      <c r="AL204" s="293"/>
      <c r="AM204" s="293"/>
      <c r="AN204" s="293"/>
      <c r="AO204" s="293"/>
      <c r="AP204" s="293"/>
      <c r="AQ204" s="293"/>
    </row>
    <row r="205" spans="2:43" x14ac:dyDescent="0.2">
      <c r="B205" s="293"/>
      <c r="C205" s="293"/>
      <c r="D205" s="293"/>
      <c r="E205" s="293"/>
      <c r="F205" s="293"/>
      <c r="G205" s="293"/>
      <c r="H205" s="293"/>
      <c r="I205" s="293"/>
      <c r="J205" s="293"/>
      <c r="K205" s="293"/>
      <c r="L205" s="293"/>
      <c r="M205" s="450"/>
      <c r="N205" s="293"/>
      <c r="O205" s="293"/>
      <c r="P205" s="293"/>
      <c r="Q205" s="293"/>
      <c r="R205" s="451"/>
      <c r="S205" s="451"/>
      <c r="T205" s="293"/>
      <c r="U205" s="293"/>
      <c r="V205" s="293"/>
      <c r="W205" s="293"/>
      <c r="X205" s="293"/>
      <c r="Y205" s="293"/>
      <c r="Z205" s="293"/>
      <c r="AA205" s="293"/>
      <c r="AB205" s="293"/>
      <c r="AC205" s="293"/>
      <c r="AD205" s="293"/>
      <c r="AE205" s="293"/>
      <c r="AF205" s="293"/>
      <c r="AG205" s="293"/>
      <c r="AH205" s="293"/>
      <c r="AI205" s="293"/>
      <c r="AJ205" s="293"/>
      <c r="AK205" s="293"/>
      <c r="AL205" s="293"/>
      <c r="AM205" s="293"/>
      <c r="AN205" s="293"/>
      <c r="AO205" s="293"/>
      <c r="AP205" s="293"/>
      <c r="AQ205" s="293"/>
    </row>
    <row r="206" spans="2:43" x14ac:dyDescent="0.2">
      <c r="B206" s="293"/>
      <c r="C206" s="293"/>
      <c r="D206" s="293"/>
      <c r="E206" s="293"/>
      <c r="F206" s="293"/>
      <c r="G206" s="293"/>
      <c r="H206" s="293"/>
      <c r="I206" s="293"/>
      <c r="J206" s="293"/>
      <c r="K206" s="293"/>
      <c r="L206" s="293"/>
      <c r="M206" s="450"/>
      <c r="N206" s="293"/>
      <c r="O206" s="293"/>
      <c r="P206" s="293"/>
      <c r="Q206" s="293"/>
      <c r="R206" s="451"/>
      <c r="S206" s="451"/>
      <c r="T206" s="293"/>
      <c r="U206" s="293"/>
      <c r="V206" s="293"/>
      <c r="W206" s="293"/>
      <c r="X206" s="293"/>
      <c r="Y206" s="293"/>
      <c r="Z206" s="293"/>
      <c r="AA206" s="293"/>
      <c r="AB206" s="293"/>
      <c r="AC206" s="293"/>
      <c r="AD206" s="293"/>
      <c r="AE206" s="293"/>
      <c r="AF206" s="293"/>
      <c r="AG206" s="293"/>
      <c r="AH206" s="293"/>
      <c r="AI206" s="293"/>
      <c r="AJ206" s="293"/>
      <c r="AK206" s="293"/>
      <c r="AL206" s="293"/>
      <c r="AM206" s="293"/>
      <c r="AN206" s="293"/>
      <c r="AO206" s="293"/>
      <c r="AP206" s="293"/>
      <c r="AQ206" s="293"/>
    </row>
    <row r="207" spans="2:43" x14ac:dyDescent="0.2">
      <c r="B207" s="293"/>
      <c r="C207" s="293"/>
      <c r="D207" s="293"/>
      <c r="E207" s="293"/>
      <c r="F207" s="293"/>
      <c r="G207" s="293"/>
      <c r="H207" s="293"/>
      <c r="I207" s="293"/>
      <c r="J207" s="293"/>
      <c r="K207" s="293"/>
      <c r="L207" s="293"/>
      <c r="M207" s="450"/>
      <c r="N207" s="293"/>
      <c r="O207" s="293"/>
      <c r="P207" s="293"/>
      <c r="Q207" s="293"/>
      <c r="R207" s="451"/>
      <c r="S207" s="451"/>
      <c r="T207" s="293"/>
      <c r="U207" s="293"/>
      <c r="V207" s="293"/>
      <c r="W207" s="293"/>
      <c r="X207" s="293"/>
      <c r="Y207" s="293"/>
      <c r="Z207" s="293"/>
      <c r="AA207" s="293"/>
      <c r="AB207" s="293"/>
      <c r="AC207" s="293"/>
      <c r="AD207" s="293"/>
      <c r="AE207" s="293"/>
      <c r="AF207" s="293"/>
      <c r="AG207" s="293"/>
      <c r="AH207" s="293"/>
      <c r="AI207" s="293"/>
      <c r="AJ207" s="293"/>
      <c r="AK207" s="293"/>
      <c r="AL207" s="293"/>
      <c r="AM207" s="293"/>
      <c r="AN207" s="293"/>
      <c r="AO207" s="293"/>
      <c r="AP207" s="293"/>
      <c r="AQ207" s="293"/>
    </row>
    <row r="208" spans="2:43" x14ac:dyDescent="0.2">
      <c r="B208" s="293"/>
      <c r="C208" s="293"/>
      <c r="D208" s="293"/>
      <c r="E208" s="293"/>
      <c r="F208" s="293"/>
      <c r="G208" s="293"/>
      <c r="H208" s="293"/>
      <c r="I208" s="293"/>
      <c r="J208" s="293"/>
      <c r="K208" s="293"/>
      <c r="L208" s="293"/>
      <c r="M208" s="450"/>
      <c r="N208" s="293"/>
      <c r="O208" s="293"/>
      <c r="P208" s="293"/>
      <c r="Q208" s="293"/>
      <c r="R208" s="451"/>
      <c r="S208" s="451"/>
      <c r="T208" s="293"/>
      <c r="U208" s="293"/>
      <c r="V208" s="293"/>
      <c r="W208" s="293"/>
      <c r="X208" s="293"/>
      <c r="Y208" s="293"/>
      <c r="Z208" s="293"/>
      <c r="AA208" s="293"/>
      <c r="AB208" s="293"/>
      <c r="AC208" s="293"/>
      <c r="AD208" s="293"/>
      <c r="AE208" s="293"/>
      <c r="AF208" s="293"/>
      <c r="AG208" s="293"/>
      <c r="AH208" s="293"/>
      <c r="AI208" s="293"/>
      <c r="AJ208" s="293"/>
      <c r="AK208" s="293"/>
      <c r="AL208" s="293"/>
      <c r="AM208" s="293"/>
      <c r="AN208" s="293"/>
      <c r="AO208" s="293"/>
      <c r="AP208" s="293"/>
      <c r="AQ208" s="293"/>
    </row>
    <row r="209" spans="2:43" x14ac:dyDescent="0.2">
      <c r="B209" s="293"/>
      <c r="C209" s="293"/>
      <c r="D209" s="293"/>
      <c r="E209" s="293"/>
      <c r="F209" s="293"/>
      <c r="G209" s="293"/>
      <c r="H209" s="293"/>
      <c r="I209" s="293"/>
      <c r="J209" s="293"/>
      <c r="K209" s="293"/>
      <c r="L209" s="293"/>
      <c r="M209" s="450"/>
      <c r="N209" s="293"/>
      <c r="O209" s="293"/>
      <c r="P209" s="293"/>
      <c r="Q209" s="293"/>
      <c r="R209" s="451"/>
      <c r="S209" s="451"/>
      <c r="T209" s="293"/>
      <c r="U209" s="293"/>
      <c r="V209" s="293"/>
      <c r="W209" s="293"/>
      <c r="X209" s="293"/>
      <c r="Y209" s="293"/>
      <c r="Z209" s="293"/>
      <c r="AA209" s="293"/>
      <c r="AB209" s="293"/>
      <c r="AC209" s="293"/>
      <c r="AD209" s="293"/>
      <c r="AE209" s="293"/>
      <c r="AF209" s="293"/>
      <c r="AG209" s="293"/>
      <c r="AH209" s="293"/>
      <c r="AI209" s="293"/>
      <c r="AJ209" s="293"/>
      <c r="AK209" s="293"/>
      <c r="AL209" s="293"/>
      <c r="AM209" s="293"/>
      <c r="AN209" s="293"/>
      <c r="AO209" s="293"/>
      <c r="AP209" s="293"/>
      <c r="AQ209" s="293"/>
    </row>
    <row r="210" spans="2:43" x14ac:dyDescent="0.2">
      <c r="B210" s="293"/>
      <c r="C210" s="293"/>
      <c r="D210" s="293"/>
      <c r="E210" s="293"/>
      <c r="F210" s="293"/>
      <c r="G210" s="293"/>
      <c r="H210" s="293"/>
      <c r="I210" s="293"/>
      <c r="J210" s="293"/>
      <c r="K210" s="293"/>
      <c r="L210" s="293"/>
      <c r="M210" s="450"/>
      <c r="N210" s="293"/>
      <c r="O210" s="293"/>
      <c r="P210" s="293"/>
      <c r="Q210" s="293"/>
      <c r="R210" s="451"/>
      <c r="S210" s="451"/>
      <c r="T210" s="293"/>
      <c r="U210" s="293"/>
      <c r="V210" s="293"/>
      <c r="W210" s="293"/>
      <c r="X210" s="293"/>
      <c r="Y210" s="293"/>
      <c r="Z210" s="293"/>
      <c r="AA210" s="293"/>
      <c r="AB210" s="293"/>
      <c r="AC210" s="293"/>
      <c r="AD210" s="293"/>
      <c r="AE210" s="293"/>
      <c r="AF210" s="293"/>
      <c r="AG210" s="293"/>
      <c r="AH210" s="293"/>
      <c r="AI210" s="293"/>
      <c r="AJ210" s="293"/>
      <c r="AK210" s="293"/>
      <c r="AL210" s="293"/>
      <c r="AM210" s="293"/>
      <c r="AN210" s="293"/>
      <c r="AO210" s="293"/>
      <c r="AP210" s="293"/>
      <c r="AQ210" s="293"/>
    </row>
    <row r="211" spans="2:43" x14ac:dyDescent="0.2">
      <c r="B211" s="293"/>
      <c r="C211" s="293"/>
      <c r="D211" s="293"/>
      <c r="E211" s="293"/>
      <c r="F211" s="293"/>
      <c r="G211" s="293"/>
      <c r="H211" s="293"/>
      <c r="I211" s="293"/>
      <c r="J211" s="293"/>
      <c r="K211" s="293"/>
      <c r="L211" s="293"/>
      <c r="M211" s="450"/>
      <c r="N211" s="293"/>
      <c r="O211" s="293"/>
      <c r="P211" s="293"/>
      <c r="Q211" s="293"/>
      <c r="R211" s="451"/>
      <c r="S211" s="451"/>
      <c r="T211" s="293"/>
      <c r="U211" s="293"/>
      <c r="V211" s="293"/>
      <c r="W211" s="293"/>
      <c r="X211" s="293"/>
      <c r="Y211" s="293"/>
      <c r="Z211" s="293"/>
      <c r="AA211" s="293"/>
      <c r="AB211" s="293"/>
      <c r="AC211" s="293"/>
      <c r="AD211" s="293"/>
      <c r="AE211" s="293"/>
      <c r="AF211" s="293"/>
      <c r="AG211" s="293"/>
      <c r="AH211" s="293"/>
      <c r="AI211" s="293"/>
      <c r="AJ211" s="293"/>
      <c r="AK211" s="293"/>
      <c r="AL211" s="293"/>
      <c r="AM211" s="293"/>
      <c r="AN211" s="293"/>
      <c r="AO211" s="293"/>
      <c r="AP211" s="293"/>
      <c r="AQ211" s="293"/>
    </row>
    <row r="212" spans="2:43" x14ac:dyDescent="0.2">
      <c r="B212" s="293"/>
      <c r="C212" s="293"/>
      <c r="D212" s="293"/>
      <c r="E212" s="293"/>
      <c r="F212" s="293"/>
      <c r="G212" s="293"/>
      <c r="H212" s="293"/>
      <c r="I212" s="293"/>
      <c r="J212" s="293"/>
      <c r="K212" s="293"/>
      <c r="L212" s="293"/>
      <c r="M212" s="450"/>
      <c r="N212" s="293"/>
      <c r="O212" s="293"/>
      <c r="P212" s="293"/>
      <c r="Q212" s="293"/>
      <c r="R212" s="451"/>
      <c r="S212" s="451"/>
      <c r="T212" s="293"/>
      <c r="U212" s="293"/>
      <c r="V212" s="293"/>
      <c r="W212" s="293"/>
      <c r="X212" s="293"/>
      <c r="Y212" s="293"/>
      <c r="Z212" s="293"/>
      <c r="AA212" s="293"/>
      <c r="AB212" s="293"/>
      <c r="AC212" s="293"/>
      <c r="AD212" s="293"/>
      <c r="AE212" s="293"/>
      <c r="AF212" s="293"/>
      <c r="AG212" s="293"/>
      <c r="AH212" s="293"/>
      <c r="AI212" s="293"/>
      <c r="AJ212" s="293"/>
      <c r="AK212" s="293"/>
      <c r="AL212" s="293"/>
      <c r="AM212" s="293"/>
      <c r="AN212" s="293"/>
      <c r="AO212" s="293"/>
      <c r="AP212" s="293"/>
      <c r="AQ212" s="293"/>
    </row>
    <row r="213" spans="2:43" x14ac:dyDescent="0.2">
      <c r="B213" s="293"/>
      <c r="C213" s="293"/>
      <c r="D213" s="293"/>
      <c r="E213" s="293"/>
      <c r="F213" s="293"/>
      <c r="G213" s="293"/>
      <c r="H213" s="293"/>
      <c r="I213" s="293"/>
      <c r="J213" s="293"/>
      <c r="K213" s="293"/>
      <c r="L213" s="293"/>
      <c r="M213" s="450"/>
      <c r="N213" s="293"/>
      <c r="O213" s="293"/>
      <c r="P213" s="293"/>
      <c r="Q213" s="293"/>
      <c r="R213" s="451"/>
      <c r="S213" s="451"/>
      <c r="T213" s="293"/>
      <c r="U213" s="293"/>
      <c r="V213" s="293"/>
      <c r="W213" s="293"/>
      <c r="X213" s="293"/>
      <c r="Y213" s="293"/>
      <c r="Z213" s="293"/>
      <c r="AA213" s="293"/>
      <c r="AB213" s="293"/>
      <c r="AC213" s="293"/>
      <c r="AD213" s="293"/>
      <c r="AE213" s="293"/>
      <c r="AF213" s="293"/>
      <c r="AG213" s="293"/>
      <c r="AH213" s="293"/>
      <c r="AI213" s="293"/>
      <c r="AJ213" s="293"/>
      <c r="AK213" s="293"/>
      <c r="AL213" s="293"/>
      <c r="AM213" s="293"/>
      <c r="AN213" s="293"/>
      <c r="AO213" s="293"/>
      <c r="AP213" s="293"/>
      <c r="AQ213" s="293"/>
    </row>
    <row r="214" spans="2:43" x14ac:dyDescent="0.2">
      <c r="B214" s="293"/>
      <c r="C214" s="293"/>
      <c r="D214" s="293"/>
      <c r="E214" s="293"/>
      <c r="F214" s="293"/>
      <c r="G214" s="293"/>
      <c r="H214" s="293"/>
      <c r="I214" s="293"/>
      <c r="J214" s="293"/>
      <c r="K214" s="293"/>
      <c r="L214" s="293"/>
      <c r="M214" s="450"/>
      <c r="N214" s="293"/>
      <c r="O214" s="293"/>
      <c r="P214" s="293"/>
      <c r="Q214" s="293"/>
      <c r="R214" s="451"/>
      <c r="S214" s="451"/>
      <c r="T214" s="293"/>
      <c r="U214" s="293"/>
      <c r="V214" s="293"/>
      <c r="W214" s="293"/>
      <c r="X214" s="293"/>
      <c r="Y214" s="293"/>
      <c r="Z214" s="293"/>
      <c r="AA214" s="293"/>
      <c r="AB214" s="293"/>
      <c r="AC214" s="293"/>
      <c r="AD214" s="293"/>
      <c r="AE214" s="293"/>
      <c r="AF214" s="293"/>
      <c r="AG214" s="293"/>
      <c r="AH214" s="293"/>
      <c r="AI214" s="293"/>
      <c r="AJ214" s="293"/>
      <c r="AK214" s="293"/>
      <c r="AL214" s="293"/>
      <c r="AM214" s="293"/>
      <c r="AN214" s="293"/>
      <c r="AO214" s="293"/>
      <c r="AP214" s="293"/>
      <c r="AQ214" s="293"/>
    </row>
    <row r="215" spans="2:43" x14ac:dyDescent="0.2">
      <c r="B215" s="293"/>
      <c r="C215" s="293"/>
      <c r="D215" s="293"/>
      <c r="E215" s="293"/>
      <c r="F215" s="293"/>
      <c r="G215" s="293"/>
      <c r="H215" s="293"/>
      <c r="I215" s="293"/>
      <c r="J215" s="293"/>
      <c r="K215" s="293"/>
      <c r="L215" s="293"/>
      <c r="M215" s="450"/>
      <c r="N215" s="293"/>
      <c r="O215" s="293"/>
      <c r="P215" s="293"/>
      <c r="Q215" s="293"/>
      <c r="R215" s="451"/>
      <c r="S215" s="451"/>
      <c r="T215" s="293"/>
      <c r="U215" s="293"/>
      <c r="V215" s="293"/>
      <c r="W215" s="293"/>
      <c r="X215" s="293"/>
      <c r="Y215" s="293"/>
      <c r="Z215" s="293"/>
      <c r="AA215" s="293"/>
      <c r="AB215" s="293"/>
      <c r="AC215" s="293"/>
      <c r="AD215" s="293"/>
      <c r="AE215" s="293"/>
      <c r="AF215" s="293"/>
      <c r="AG215" s="293"/>
      <c r="AH215" s="293"/>
      <c r="AI215" s="293"/>
      <c r="AJ215" s="293"/>
      <c r="AK215" s="293"/>
      <c r="AL215" s="293"/>
      <c r="AM215" s="293"/>
      <c r="AN215" s="293"/>
      <c r="AO215" s="293"/>
      <c r="AP215" s="293"/>
      <c r="AQ215" s="293"/>
    </row>
    <row r="216" spans="2:43" x14ac:dyDescent="0.2">
      <c r="B216" s="293"/>
      <c r="C216" s="293"/>
      <c r="D216" s="293"/>
      <c r="E216" s="293"/>
      <c r="F216" s="293"/>
      <c r="G216" s="293"/>
      <c r="H216" s="293"/>
      <c r="I216" s="293"/>
      <c r="J216" s="293"/>
      <c r="K216" s="293"/>
      <c r="L216" s="293"/>
      <c r="M216" s="450"/>
      <c r="N216" s="293"/>
      <c r="O216" s="293"/>
      <c r="P216" s="293"/>
      <c r="Q216" s="293"/>
      <c r="R216" s="451"/>
      <c r="S216" s="451"/>
      <c r="T216" s="293"/>
      <c r="U216" s="293"/>
      <c r="V216" s="293"/>
      <c r="W216" s="293"/>
      <c r="X216" s="293"/>
      <c r="Y216" s="293"/>
      <c r="Z216" s="293"/>
      <c r="AA216" s="293"/>
      <c r="AB216" s="293"/>
      <c r="AC216" s="293"/>
      <c r="AD216" s="293"/>
      <c r="AE216" s="293"/>
      <c r="AF216" s="293"/>
      <c r="AG216" s="293"/>
      <c r="AH216" s="293"/>
      <c r="AI216" s="293"/>
      <c r="AJ216" s="293"/>
      <c r="AK216" s="293"/>
      <c r="AL216" s="293"/>
      <c r="AM216" s="293"/>
      <c r="AN216" s="293"/>
      <c r="AO216" s="293"/>
      <c r="AP216" s="293"/>
      <c r="AQ216" s="293"/>
    </row>
    <row r="217" spans="2:43" x14ac:dyDescent="0.2">
      <c r="B217" s="293"/>
      <c r="C217" s="293"/>
      <c r="D217" s="293"/>
      <c r="E217" s="293"/>
      <c r="F217" s="293"/>
      <c r="G217" s="293"/>
      <c r="H217" s="293"/>
      <c r="I217" s="293"/>
      <c r="J217" s="293"/>
      <c r="K217" s="293"/>
      <c r="L217" s="293"/>
      <c r="M217" s="450"/>
      <c r="N217" s="293"/>
      <c r="O217" s="293"/>
      <c r="P217" s="293"/>
      <c r="Q217" s="293"/>
      <c r="R217" s="451"/>
      <c r="S217" s="451"/>
      <c r="T217" s="293"/>
      <c r="U217" s="293"/>
      <c r="V217" s="293"/>
      <c r="W217" s="293"/>
      <c r="X217" s="293"/>
      <c r="Y217" s="293"/>
      <c r="Z217" s="293"/>
      <c r="AA217" s="293"/>
      <c r="AB217" s="293"/>
      <c r="AC217" s="293"/>
      <c r="AD217" s="293"/>
      <c r="AE217" s="293"/>
      <c r="AF217" s="293"/>
      <c r="AG217" s="293"/>
      <c r="AH217" s="293"/>
      <c r="AI217" s="293"/>
      <c r="AJ217" s="293"/>
      <c r="AK217" s="293"/>
      <c r="AL217" s="293"/>
      <c r="AM217" s="293"/>
      <c r="AN217" s="293"/>
      <c r="AO217" s="293"/>
      <c r="AP217" s="293"/>
      <c r="AQ217" s="293"/>
    </row>
    <row r="218" spans="2:43" x14ac:dyDescent="0.2">
      <c r="B218" s="293"/>
      <c r="C218" s="293"/>
      <c r="D218" s="293"/>
      <c r="E218" s="293"/>
      <c r="F218" s="293"/>
      <c r="G218" s="293"/>
      <c r="H218" s="293"/>
      <c r="I218" s="293"/>
      <c r="J218" s="293"/>
      <c r="K218" s="293"/>
      <c r="L218" s="293"/>
      <c r="M218" s="450"/>
      <c r="N218" s="293"/>
      <c r="O218" s="293"/>
      <c r="P218" s="293"/>
      <c r="Q218" s="293"/>
      <c r="R218" s="451"/>
      <c r="S218" s="451"/>
      <c r="T218" s="293"/>
      <c r="U218" s="293"/>
      <c r="V218" s="293"/>
      <c r="W218" s="293"/>
      <c r="X218" s="293"/>
      <c r="Y218" s="293"/>
      <c r="Z218" s="293"/>
      <c r="AA218" s="293"/>
      <c r="AB218" s="293"/>
      <c r="AC218" s="293"/>
      <c r="AD218" s="293"/>
      <c r="AE218" s="293"/>
      <c r="AF218" s="293"/>
      <c r="AG218" s="293"/>
      <c r="AH218" s="293"/>
      <c r="AI218" s="293"/>
      <c r="AJ218" s="293"/>
      <c r="AK218" s="293"/>
      <c r="AL218" s="293"/>
      <c r="AM218" s="293"/>
      <c r="AN218" s="293"/>
      <c r="AO218" s="293"/>
      <c r="AP218" s="293"/>
      <c r="AQ218" s="293"/>
    </row>
    <row r="219" spans="2:43" x14ac:dyDescent="0.2">
      <c r="B219" s="293"/>
      <c r="C219" s="293"/>
      <c r="D219" s="293"/>
      <c r="E219" s="293"/>
      <c r="F219" s="293"/>
      <c r="G219" s="293"/>
      <c r="H219" s="293"/>
      <c r="I219" s="293"/>
      <c r="J219" s="293"/>
      <c r="K219" s="293"/>
      <c r="L219" s="293"/>
      <c r="M219" s="450"/>
      <c r="N219" s="293"/>
      <c r="O219" s="293"/>
      <c r="P219" s="293"/>
      <c r="Q219" s="293"/>
      <c r="R219" s="451"/>
      <c r="S219" s="451"/>
      <c r="T219" s="293"/>
      <c r="U219" s="293"/>
      <c r="V219" s="293"/>
      <c r="W219" s="293"/>
      <c r="X219" s="293"/>
      <c r="Y219" s="293"/>
      <c r="Z219" s="293"/>
      <c r="AA219" s="293"/>
      <c r="AB219" s="293"/>
      <c r="AC219" s="293"/>
      <c r="AD219" s="293"/>
      <c r="AE219" s="293"/>
      <c r="AF219" s="293"/>
      <c r="AG219" s="293"/>
      <c r="AH219" s="293"/>
      <c r="AI219" s="293"/>
      <c r="AJ219" s="293"/>
      <c r="AK219" s="293"/>
      <c r="AL219" s="293"/>
      <c r="AM219" s="293"/>
      <c r="AN219" s="293"/>
      <c r="AO219" s="293"/>
      <c r="AP219" s="293"/>
      <c r="AQ219" s="293"/>
    </row>
    <row r="220" spans="2:43" x14ac:dyDescent="0.2">
      <c r="B220" s="293"/>
      <c r="C220" s="293"/>
      <c r="D220" s="293"/>
      <c r="E220" s="293"/>
      <c r="F220" s="293"/>
      <c r="G220" s="293"/>
      <c r="H220" s="293"/>
      <c r="I220" s="293"/>
      <c r="J220" s="293"/>
      <c r="K220" s="293"/>
      <c r="L220" s="293"/>
      <c r="M220" s="450"/>
      <c r="N220" s="293"/>
      <c r="O220" s="293"/>
      <c r="P220" s="293"/>
      <c r="Q220" s="293"/>
      <c r="R220" s="451"/>
      <c r="S220" s="451"/>
      <c r="T220" s="293"/>
      <c r="U220" s="293"/>
      <c r="V220" s="293"/>
      <c r="W220" s="293"/>
      <c r="X220" s="293"/>
      <c r="Y220" s="293"/>
      <c r="Z220" s="293"/>
      <c r="AA220" s="293"/>
      <c r="AB220" s="293"/>
      <c r="AC220" s="293"/>
      <c r="AD220" s="293"/>
      <c r="AE220" s="293"/>
      <c r="AF220" s="293"/>
      <c r="AG220" s="293"/>
      <c r="AH220" s="293"/>
      <c r="AI220" s="293"/>
      <c r="AJ220" s="293"/>
      <c r="AK220" s="293"/>
      <c r="AL220" s="293"/>
      <c r="AM220" s="293"/>
      <c r="AN220" s="293"/>
      <c r="AO220" s="293"/>
      <c r="AP220" s="293"/>
      <c r="AQ220" s="293"/>
    </row>
    <row r="221" spans="2:43" x14ac:dyDescent="0.2">
      <c r="B221" s="293"/>
      <c r="C221" s="293"/>
      <c r="D221" s="293"/>
      <c r="E221" s="293"/>
      <c r="F221" s="293"/>
      <c r="G221" s="293"/>
      <c r="H221" s="293"/>
      <c r="I221" s="293"/>
      <c r="J221" s="293"/>
      <c r="K221" s="293"/>
      <c r="L221" s="293"/>
      <c r="M221" s="450"/>
      <c r="N221" s="293"/>
      <c r="O221" s="293"/>
      <c r="P221" s="293"/>
      <c r="Q221" s="293"/>
      <c r="R221" s="451"/>
      <c r="S221" s="451"/>
      <c r="T221" s="293"/>
      <c r="U221" s="293"/>
      <c r="V221" s="293"/>
      <c r="W221" s="293"/>
      <c r="X221" s="293"/>
      <c r="Y221" s="293"/>
      <c r="Z221" s="293"/>
      <c r="AA221" s="293"/>
      <c r="AB221" s="293"/>
      <c r="AC221" s="293"/>
      <c r="AD221" s="293"/>
      <c r="AE221" s="293"/>
      <c r="AF221" s="293"/>
      <c r="AG221" s="293"/>
      <c r="AH221" s="293"/>
      <c r="AI221" s="293"/>
      <c r="AJ221" s="293"/>
      <c r="AK221" s="293"/>
      <c r="AL221" s="293"/>
      <c r="AM221" s="293"/>
      <c r="AN221" s="293"/>
      <c r="AO221" s="293"/>
      <c r="AP221" s="293"/>
      <c r="AQ221" s="293"/>
    </row>
    <row r="222" spans="2:43" x14ac:dyDescent="0.2">
      <c r="B222" s="293"/>
      <c r="C222" s="293"/>
      <c r="D222" s="293"/>
      <c r="E222" s="293"/>
      <c r="F222" s="293"/>
      <c r="G222" s="293"/>
      <c r="H222" s="293"/>
      <c r="I222" s="293"/>
      <c r="J222" s="293"/>
      <c r="K222" s="293"/>
      <c r="L222" s="293"/>
      <c r="M222" s="450"/>
      <c r="N222" s="293"/>
      <c r="O222" s="293"/>
      <c r="P222" s="293"/>
      <c r="Q222" s="293"/>
      <c r="R222" s="451"/>
      <c r="S222" s="451"/>
      <c r="T222" s="293"/>
      <c r="U222" s="293"/>
      <c r="V222" s="293"/>
      <c r="W222" s="293"/>
      <c r="X222" s="293"/>
      <c r="Y222" s="293"/>
      <c r="Z222" s="293"/>
      <c r="AA222" s="293"/>
      <c r="AB222" s="293"/>
      <c r="AC222" s="293"/>
      <c r="AD222" s="293"/>
      <c r="AE222" s="293"/>
      <c r="AF222" s="293"/>
      <c r="AG222" s="293"/>
      <c r="AH222" s="293"/>
      <c r="AI222" s="293"/>
      <c r="AJ222" s="293"/>
      <c r="AK222" s="293"/>
      <c r="AL222" s="293"/>
      <c r="AM222" s="293"/>
      <c r="AN222" s="293"/>
      <c r="AO222" s="293"/>
      <c r="AP222" s="293"/>
      <c r="AQ222" s="293"/>
    </row>
    <row r="223" spans="2:43" x14ac:dyDescent="0.2">
      <c r="B223" s="293"/>
      <c r="C223" s="293"/>
      <c r="D223" s="293"/>
      <c r="E223" s="293"/>
      <c r="F223" s="293"/>
      <c r="G223" s="293"/>
      <c r="H223" s="293"/>
      <c r="I223" s="293"/>
      <c r="J223" s="293"/>
      <c r="K223" s="293"/>
      <c r="L223" s="293"/>
      <c r="M223" s="450"/>
      <c r="N223" s="293"/>
      <c r="O223" s="293"/>
      <c r="P223" s="293"/>
      <c r="Q223" s="293"/>
      <c r="R223" s="451"/>
      <c r="S223" s="451"/>
      <c r="T223" s="293"/>
      <c r="U223" s="293"/>
      <c r="V223" s="293"/>
      <c r="W223" s="293"/>
      <c r="X223" s="293"/>
      <c r="Y223" s="293"/>
      <c r="Z223" s="293"/>
      <c r="AA223" s="293"/>
      <c r="AB223" s="293"/>
      <c r="AC223" s="293"/>
      <c r="AD223" s="293"/>
      <c r="AE223" s="293"/>
      <c r="AF223" s="293"/>
      <c r="AG223" s="293"/>
      <c r="AH223" s="293"/>
      <c r="AI223" s="293"/>
      <c r="AJ223" s="293"/>
      <c r="AK223" s="293"/>
      <c r="AL223" s="293"/>
      <c r="AM223" s="293"/>
      <c r="AN223" s="293"/>
      <c r="AO223" s="293"/>
      <c r="AP223" s="293"/>
      <c r="AQ223" s="293"/>
    </row>
    <row r="224" spans="2:43" x14ac:dyDescent="0.2">
      <c r="B224" s="293"/>
      <c r="C224" s="293"/>
      <c r="D224" s="293"/>
      <c r="E224" s="293"/>
      <c r="F224" s="293"/>
      <c r="G224" s="293"/>
      <c r="H224" s="293"/>
      <c r="I224" s="293"/>
      <c r="J224" s="293"/>
      <c r="K224" s="293"/>
      <c r="L224" s="293"/>
      <c r="M224" s="450"/>
      <c r="N224" s="293"/>
      <c r="O224" s="293"/>
      <c r="P224" s="293"/>
      <c r="Q224" s="293"/>
      <c r="R224" s="451"/>
      <c r="S224" s="451"/>
      <c r="T224" s="293"/>
      <c r="U224" s="293"/>
      <c r="V224" s="293"/>
      <c r="W224" s="293"/>
      <c r="X224" s="293"/>
      <c r="Y224" s="293"/>
      <c r="Z224" s="293"/>
      <c r="AA224" s="293"/>
      <c r="AB224" s="293"/>
      <c r="AC224" s="293"/>
      <c r="AD224" s="293"/>
      <c r="AE224" s="293"/>
      <c r="AF224" s="293"/>
      <c r="AG224" s="293"/>
      <c r="AH224" s="293"/>
      <c r="AI224" s="293"/>
      <c r="AJ224" s="293"/>
      <c r="AK224" s="293"/>
      <c r="AL224" s="293"/>
      <c r="AM224" s="293"/>
      <c r="AN224" s="293"/>
      <c r="AO224" s="293"/>
      <c r="AP224" s="293"/>
      <c r="AQ224" s="293"/>
    </row>
    <row r="225" spans="2:43" x14ac:dyDescent="0.2">
      <c r="B225" s="293"/>
      <c r="C225" s="293"/>
      <c r="D225" s="293"/>
      <c r="E225" s="293"/>
      <c r="F225" s="293"/>
      <c r="G225" s="293"/>
      <c r="H225" s="293"/>
      <c r="I225" s="293"/>
      <c r="J225" s="293"/>
      <c r="K225" s="293"/>
      <c r="L225" s="293"/>
      <c r="M225" s="450"/>
      <c r="N225" s="293"/>
      <c r="O225" s="293"/>
      <c r="P225" s="293"/>
      <c r="Q225" s="293"/>
      <c r="R225" s="451"/>
      <c r="S225" s="451"/>
      <c r="T225" s="293"/>
      <c r="U225" s="293"/>
      <c r="V225" s="293"/>
      <c r="W225" s="293"/>
      <c r="X225" s="293"/>
      <c r="Y225" s="293"/>
      <c r="Z225" s="293"/>
      <c r="AA225" s="293"/>
      <c r="AB225" s="293"/>
      <c r="AC225" s="293"/>
      <c r="AD225" s="293"/>
      <c r="AE225" s="293"/>
      <c r="AF225" s="293"/>
      <c r="AG225" s="293"/>
      <c r="AH225" s="293"/>
      <c r="AI225" s="293"/>
      <c r="AJ225" s="293"/>
      <c r="AK225" s="293"/>
      <c r="AL225" s="293"/>
      <c r="AM225" s="293"/>
      <c r="AN225" s="293"/>
      <c r="AO225" s="293"/>
      <c r="AP225" s="293"/>
      <c r="AQ225" s="293"/>
    </row>
    <row r="226" spans="2:43" x14ac:dyDescent="0.2">
      <c r="B226" s="293"/>
      <c r="C226" s="293"/>
      <c r="D226" s="293"/>
      <c r="E226" s="293"/>
      <c r="F226" s="293"/>
      <c r="G226" s="293"/>
      <c r="H226" s="293"/>
      <c r="I226" s="293"/>
      <c r="J226" s="293"/>
      <c r="K226" s="293"/>
      <c r="L226" s="293"/>
      <c r="M226" s="450"/>
      <c r="N226" s="293"/>
      <c r="O226" s="293"/>
      <c r="P226" s="293"/>
      <c r="Q226" s="293"/>
      <c r="R226" s="451"/>
      <c r="S226" s="451"/>
      <c r="T226" s="293"/>
      <c r="U226" s="293"/>
      <c r="V226" s="293"/>
      <c r="W226" s="293"/>
      <c r="X226" s="293"/>
      <c r="Y226" s="293"/>
      <c r="Z226" s="293"/>
      <c r="AA226" s="293"/>
      <c r="AB226" s="293"/>
      <c r="AC226" s="293"/>
      <c r="AD226" s="293"/>
      <c r="AE226" s="293"/>
      <c r="AF226" s="293"/>
      <c r="AG226" s="293"/>
      <c r="AH226" s="293"/>
      <c r="AI226" s="293"/>
      <c r="AJ226" s="293"/>
      <c r="AK226" s="293"/>
      <c r="AL226" s="293"/>
      <c r="AM226" s="293"/>
      <c r="AN226" s="293"/>
      <c r="AO226" s="293"/>
      <c r="AP226" s="293"/>
      <c r="AQ226" s="293"/>
    </row>
    <row r="227" spans="2:43" x14ac:dyDescent="0.2">
      <c r="B227" s="293"/>
      <c r="C227" s="293"/>
      <c r="D227" s="293"/>
      <c r="E227" s="293"/>
      <c r="F227" s="293"/>
      <c r="G227" s="293"/>
      <c r="H227" s="293"/>
      <c r="I227" s="293"/>
      <c r="J227" s="293"/>
      <c r="K227" s="293"/>
      <c r="L227" s="293"/>
      <c r="M227" s="450"/>
      <c r="N227" s="293"/>
      <c r="O227" s="293"/>
      <c r="P227" s="293"/>
      <c r="Q227" s="293"/>
      <c r="R227" s="451"/>
      <c r="S227" s="451"/>
      <c r="T227" s="293"/>
      <c r="U227" s="293"/>
      <c r="V227" s="293"/>
      <c r="W227" s="293"/>
      <c r="X227" s="293"/>
      <c r="Y227" s="293"/>
      <c r="Z227" s="293"/>
      <c r="AA227" s="293"/>
      <c r="AB227" s="293"/>
      <c r="AC227" s="293"/>
      <c r="AD227" s="293"/>
      <c r="AE227" s="293"/>
      <c r="AF227" s="293"/>
      <c r="AG227" s="293"/>
      <c r="AH227" s="293"/>
      <c r="AI227" s="293"/>
      <c r="AJ227" s="293"/>
      <c r="AK227" s="293"/>
      <c r="AL227" s="293"/>
      <c r="AM227" s="293"/>
      <c r="AN227" s="293"/>
      <c r="AO227" s="293"/>
      <c r="AP227" s="293"/>
      <c r="AQ227" s="293"/>
    </row>
    <row r="228" spans="2:43" x14ac:dyDescent="0.2">
      <c r="B228" s="293"/>
      <c r="C228" s="293"/>
      <c r="D228" s="293"/>
      <c r="E228" s="293"/>
      <c r="F228" s="293"/>
      <c r="G228" s="293"/>
      <c r="H228" s="293"/>
      <c r="I228" s="293"/>
      <c r="J228" s="293"/>
      <c r="K228" s="293"/>
      <c r="L228" s="293"/>
      <c r="M228" s="450"/>
      <c r="N228" s="293"/>
      <c r="O228" s="293"/>
      <c r="P228" s="293"/>
      <c r="Q228" s="293"/>
      <c r="R228" s="451"/>
      <c r="S228" s="451"/>
      <c r="T228" s="293"/>
      <c r="U228" s="293"/>
      <c r="V228" s="293"/>
      <c r="W228" s="293"/>
      <c r="X228" s="293"/>
      <c r="Y228" s="293"/>
      <c r="Z228" s="293"/>
      <c r="AA228" s="293"/>
      <c r="AB228" s="293"/>
      <c r="AC228" s="293"/>
      <c r="AD228" s="293"/>
      <c r="AE228" s="293"/>
      <c r="AF228" s="293"/>
      <c r="AG228" s="293"/>
      <c r="AH228" s="293"/>
      <c r="AI228" s="293"/>
      <c r="AJ228" s="293"/>
      <c r="AK228" s="293"/>
      <c r="AL228" s="293"/>
      <c r="AM228" s="293"/>
      <c r="AN228" s="293"/>
      <c r="AO228" s="293"/>
      <c r="AP228" s="293"/>
      <c r="AQ228" s="293"/>
    </row>
    <row r="229" spans="2:43" x14ac:dyDescent="0.2">
      <c r="B229" s="293"/>
      <c r="C229" s="293"/>
      <c r="D229" s="293"/>
      <c r="E229" s="293"/>
      <c r="F229" s="293"/>
      <c r="G229" s="293"/>
      <c r="H229" s="293"/>
      <c r="I229" s="293"/>
      <c r="J229" s="293"/>
      <c r="K229" s="293"/>
      <c r="L229" s="293"/>
      <c r="M229" s="450"/>
      <c r="N229" s="293"/>
      <c r="O229" s="293"/>
      <c r="P229" s="293"/>
      <c r="Q229" s="293"/>
      <c r="R229" s="451"/>
      <c r="S229" s="451"/>
      <c r="T229" s="293"/>
      <c r="U229" s="293"/>
      <c r="V229" s="293"/>
      <c r="W229" s="293"/>
      <c r="X229" s="293"/>
      <c r="Y229" s="293"/>
      <c r="Z229" s="293"/>
      <c r="AA229" s="293"/>
      <c r="AB229" s="293"/>
      <c r="AC229" s="293"/>
      <c r="AD229" s="293"/>
      <c r="AE229" s="293"/>
      <c r="AF229" s="293"/>
      <c r="AG229" s="293"/>
      <c r="AH229" s="293"/>
      <c r="AI229" s="293"/>
      <c r="AJ229" s="293"/>
      <c r="AK229" s="293"/>
      <c r="AL229" s="293"/>
      <c r="AM229" s="293"/>
      <c r="AN229" s="293"/>
      <c r="AO229" s="293"/>
      <c r="AP229" s="293"/>
      <c r="AQ229" s="293"/>
    </row>
    <row r="230" spans="2:43" x14ac:dyDescent="0.2">
      <c r="B230" s="293"/>
      <c r="C230" s="293"/>
      <c r="D230" s="293"/>
      <c r="E230" s="293"/>
      <c r="F230" s="293"/>
      <c r="G230" s="293"/>
      <c r="H230" s="293"/>
      <c r="I230" s="293"/>
      <c r="J230" s="293"/>
      <c r="K230" s="293"/>
      <c r="L230" s="293"/>
      <c r="M230" s="450"/>
      <c r="N230" s="293"/>
      <c r="O230" s="293"/>
      <c r="P230" s="293"/>
      <c r="Q230" s="293"/>
      <c r="R230" s="451"/>
      <c r="S230" s="451"/>
      <c r="T230" s="293"/>
      <c r="U230" s="293"/>
      <c r="V230" s="293"/>
      <c r="W230" s="293"/>
      <c r="X230" s="293"/>
      <c r="Y230" s="293"/>
      <c r="Z230" s="293"/>
      <c r="AA230" s="293"/>
      <c r="AB230" s="293"/>
      <c r="AC230" s="293"/>
      <c r="AD230" s="293"/>
      <c r="AE230" s="293"/>
      <c r="AF230" s="293"/>
      <c r="AG230" s="293"/>
      <c r="AH230" s="293"/>
      <c r="AI230" s="293"/>
      <c r="AJ230" s="293"/>
      <c r="AK230" s="293"/>
      <c r="AL230" s="293"/>
      <c r="AM230" s="293"/>
      <c r="AN230" s="293"/>
      <c r="AO230" s="293"/>
      <c r="AP230" s="293"/>
      <c r="AQ230" s="293"/>
    </row>
    <row r="231" spans="2:43" x14ac:dyDescent="0.2">
      <c r="B231" s="293"/>
      <c r="C231" s="293"/>
      <c r="D231" s="293"/>
      <c r="E231" s="293"/>
      <c r="F231" s="293"/>
      <c r="G231" s="293"/>
      <c r="H231" s="293"/>
      <c r="I231" s="293"/>
      <c r="J231" s="293"/>
      <c r="K231" s="293"/>
      <c r="L231" s="293"/>
      <c r="M231" s="450"/>
      <c r="N231" s="293"/>
      <c r="O231" s="293"/>
      <c r="P231" s="293"/>
      <c r="Q231" s="293"/>
      <c r="R231" s="451"/>
      <c r="S231" s="451"/>
      <c r="T231" s="293"/>
      <c r="U231" s="293"/>
      <c r="V231" s="293"/>
      <c r="W231" s="293"/>
      <c r="X231" s="293"/>
      <c r="Y231" s="293"/>
      <c r="Z231" s="293"/>
      <c r="AA231" s="293"/>
      <c r="AB231" s="293"/>
      <c r="AC231" s="293"/>
      <c r="AD231" s="293"/>
      <c r="AE231" s="293"/>
      <c r="AF231" s="293"/>
      <c r="AG231" s="293"/>
      <c r="AH231" s="293"/>
      <c r="AI231" s="293"/>
      <c r="AJ231" s="293"/>
      <c r="AK231" s="293"/>
      <c r="AL231" s="293"/>
      <c r="AM231" s="293"/>
      <c r="AN231" s="293"/>
      <c r="AO231" s="293"/>
      <c r="AP231" s="293"/>
      <c r="AQ231" s="293"/>
    </row>
    <row r="232" spans="2:43" x14ac:dyDescent="0.2">
      <c r="B232" s="293"/>
      <c r="C232" s="293"/>
      <c r="D232" s="293"/>
      <c r="E232" s="293"/>
      <c r="F232" s="293"/>
      <c r="G232" s="293"/>
      <c r="H232" s="293"/>
      <c r="I232" s="293"/>
      <c r="J232" s="293"/>
      <c r="K232" s="293"/>
      <c r="L232" s="293"/>
      <c r="M232" s="450"/>
      <c r="N232" s="293"/>
      <c r="O232" s="293"/>
      <c r="P232" s="293"/>
      <c r="Q232" s="293"/>
      <c r="R232" s="451"/>
      <c r="S232" s="451"/>
      <c r="T232" s="293"/>
      <c r="U232" s="293"/>
      <c r="V232" s="293"/>
      <c r="W232" s="293"/>
      <c r="X232" s="293"/>
      <c r="Y232" s="293"/>
      <c r="Z232" s="293"/>
      <c r="AA232" s="293"/>
      <c r="AB232" s="293"/>
      <c r="AC232" s="293"/>
      <c r="AD232" s="293"/>
      <c r="AE232" s="293"/>
      <c r="AF232" s="293"/>
      <c r="AG232" s="293"/>
      <c r="AH232" s="293"/>
      <c r="AI232" s="293"/>
      <c r="AJ232" s="293"/>
      <c r="AK232" s="293"/>
      <c r="AL232" s="293"/>
      <c r="AM232" s="293"/>
      <c r="AN232" s="293"/>
      <c r="AO232" s="293"/>
      <c r="AP232" s="293"/>
      <c r="AQ232" s="293"/>
    </row>
    <row r="233" spans="2:43" x14ac:dyDescent="0.2">
      <c r="B233" s="293"/>
      <c r="C233" s="293"/>
      <c r="D233" s="293"/>
      <c r="E233" s="293"/>
      <c r="F233" s="293"/>
      <c r="G233" s="293"/>
      <c r="H233" s="293"/>
      <c r="I233" s="293"/>
      <c r="J233" s="293"/>
      <c r="K233" s="293"/>
      <c r="L233" s="293"/>
      <c r="M233" s="450"/>
      <c r="N233" s="293"/>
      <c r="O233" s="293"/>
      <c r="P233" s="293"/>
      <c r="Q233" s="293"/>
      <c r="R233" s="451"/>
      <c r="S233" s="451"/>
      <c r="T233" s="293"/>
      <c r="U233" s="293"/>
      <c r="V233" s="293"/>
      <c r="W233" s="293"/>
      <c r="X233" s="293"/>
      <c r="Y233" s="293"/>
      <c r="Z233" s="293"/>
      <c r="AA233" s="293"/>
      <c r="AB233" s="293"/>
      <c r="AC233" s="293"/>
      <c r="AD233" s="293"/>
      <c r="AE233" s="293"/>
      <c r="AF233" s="293"/>
      <c r="AG233" s="293"/>
      <c r="AH233" s="293"/>
      <c r="AI233" s="293"/>
      <c r="AJ233" s="293"/>
      <c r="AK233" s="293"/>
      <c r="AL233" s="293"/>
      <c r="AM233" s="293"/>
      <c r="AN233" s="293"/>
      <c r="AO233" s="293"/>
      <c r="AP233" s="293"/>
      <c r="AQ233" s="293"/>
    </row>
    <row r="234" spans="2:43" x14ac:dyDescent="0.2">
      <c r="B234" s="293"/>
      <c r="C234" s="293"/>
      <c r="D234" s="293"/>
      <c r="E234" s="293"/>
      <c r="F234" s="293"/>
      <c r="G234" s="293"/>
      <c r="H234" s="293"/>
      <c r="I234" s="293"/>
      <c r="J234" s="293"/>
      <c r="K234" s="293"/>
      <c r="L234" s="293"/>
      <c r="M234" s="450"/>
      <c r="N234" s="293"/>
      <c r="O234" s="293"/>
      <c r="P234" s="293"/>
      <c r="Q234" s="293"/>
      <c r="R234" s="451"/>
      <c r="S234" s="451"/>
      <c r="T234" s="293"/>
      <c r="U234" s="293"/>
      <c r="V234" s="293"/>
      <c r="W234" s="293"/>
      <c r="X234" s="293"/>
      <c r="Y234" s="293"/>
      <c r="Z234" s="293"/>
      <c r="AA234" s="293"/>
      <c r="AB234" s="293"/>
      <c r="AC234" s="293"/>
      <c r="AD234" s="293"/>
      <c r="AE234" s="293"/>
      <c r="AF234" s="293"/>
      <c r="AG234" s="293"/>
      <c r="AH234" s="293"/>
      <c r="AI234" s="293"/>
      <c r="AJ234" s="293"/>
      <c r="AK234" s="293"/>
      <c r="AL234" s="293"/>
      <c r="AM234" s="293"/>
      <c r="AN234" s="293"/>
      <c r="AO234" s="293"/>
      <c r="AP234" s="293"/>
      <c r="AQ234" s="293"/>
    </row>
    <row r="235" spans="2:43" x14ac:dyDescent="0.2">
      <c r="B235" s="293"/>
      <c r="C235" s="293"/>
      <c r="D235" s="293"/>
      <c r="E235" s="293"/>
      <c r="F235" s="293"/>
      <c r="G235" s="293"/>
      <c r="H235" s="293"/>
      <c r="I235" s="293"/>
      <c r="J235" s="293"/>
      <c r="K235" s="293"/>
      <c r="L235" s="293"/>
      <c r="M235" s="450"/>
      <c r="N235" s="293"/>
      <c r="O235" s="293"/>
      <c r="P235" s="293"/>
      <c r="Q235" s="293"/>
      <c r="R235" s="451"/>
      <c r="S235" s="451"/>
      <c r="T235" s="293"/>
      <c r="U235" s="293"/>
      <c r="V235" s="293"/>
      <c r="W235" s="293"/>
      <c r="X235" s="293"/>
      <c r="Y235" s="293"/>
      <c r="Z235" s="293"/>
      <c r="AA235" s="293"/>
      <c r="AB235" s="293"/>
      <c r="AC235" s="293"/>
      <c r="AD235" s="293"/>
      <c r="AE235" s="293"/>
      <c r="AF235" s="293"/>
      <c r="AG235" s="293"/>
      <c r="AH235" s="293"/>
      <c r="AI235" s="293"/>
      <c r="AJ235" s="293"/>
      <c r="AK235" s="293"/>
      <c r="AL235" s="293"/>
      <c r="AM235" s="293"/>
      <c r="AN235" s="293"/>
      <c r="AO235" s="293"/>
      <c r="AP235" s="293"/>
      <c r="AQ235" s="293"/>
    </row>
    <row r="236" spans="2:43" x14ac:dyDescent="0.2">
      <c r="B236" s="293"/>
      <c r="C236" s="293"/>
      <c r="D236" s="293"/>
      <c r="E236" s="293"/>
      <c r="F236" s="293"/>
      <c r="G236" s="293"/>
      <c r="H236" s="293"/>
      <c r="I236" s="293"/>
      <c r="J236" s="293"/>
      <c r="K236" s="293"/>
      <c r="L236" s="293"/>
      <c r="M236" s="450"/>
      <c r="N236" s="293"/>
      <c r="O236" s="293"/>
      <c r="P236" s="293"/>
      <c r="Q236" s="293"/>
      <c r="R236" s="451"/>
      <c r="S236" s="451"/>
      <c r="T236" s="293"/>
      <c r="U236" s="293"/>
      <c r="V236" s="293"/>
      <c r="W236" s="293"/>
      <c r="X236" s="293"/>
      <c r="Y236" s="293"/>
      <c r="Z236" s="293"/>
      <c r="AA236" s="293"/>
      <c r="AB236" s="293"/>
      <c r="AC236" s="293"/>
      <c r="AD236" s="293"/>
      <c r="AE236" s="293"/>
      <c r="AF236" s="293"/>
      <c r="AG236" s="293"/>
      <c r="AH236" s="293"/>
      <c r="AI236" s="293"/>
      <c r="AJ236" s="293"/>
      <c r="AK236" s="293"/>
      <c r="AL236" s="293"/>
      <c r="AM236" s="293"/>
      <c r="AN236" s="293"/>
      <c r="AO236" s="293"/>
      <c r="AP236" s="293"/>
      <c r="AQ236" s="293"/>
    </row>
    <row r="237" spans="2:43" x14ac:dyDescent="0.2">
      <c r="B237" s="293"/>
      <c r="C237" s="293"/>
      <c r="D237" s="293"/>
      <c r="E237" s="293"/>
      <c r="F237" s="293"/>
      <c r="G237" s="293"/>
      <c r="H237" s="293"/>
      <c r="I237" s="293"/>
      <c r="J237" s="293"/>
      <c r="K237" s="293"/>
      <c r="L237" s="293"/>
      <c r="M237" s="450"/>
      <c r="N237" s="293"/>
      <c r="O237" s="293"/>
      <c r="P237" s="293"/>
      <c r="Q237" s="293"/>
      <c r="R237" s="451"/>
      <c r="S237" s="451"/>
      <c r="T237" s="293"/>
      <c r="U237" s="293"/>
      <c r="V237" s="293"/>
      <c r="W237" s="293"/>
      <c r="X237" s="293"/>
      <c r="Y237" s="293"/>
      <c r="Z237" s="293"/>
      <c r="AA237" s="293"/>
      <c r="AB237" s="293"/>
      <c r="AC237" s="293"/>
      <c r="AD237" s="293"/>
      <c r="AE237" s="293"/>
      <c r="AF237" s="293"/>
      <c r="AG237" s="293"/>
      <c r="AH237" s="293"/>
      <c r="AI237" s="293"/>
      <c r="AJ237" s="293"/>
      <c r="AK237" s="293"/>
      <c r="AL237" s="293"/>
      <c r="AM237" s="293"/>
      <c r="AN237" s="293"/>
      <c r="AO237" s="293"/>
      <c r="AP237" s="293"/>
      <c r="AQ237" s="293"/>
    </row>
    <row r="238" spans="2:43" x14ac:dyDescent="0.2">
      <c r="B238" s="293"/>
      <c r="C238" s="293"/>
      <c r="D238" s="293"/>
      <c r="E238" s="293"/>
      <c r="F238" s="293"/>
      <c r="G238" s="293"/>
      <c r="H238" s="293"/>
      <c r="I238" s="293"/>
      <c r="J238" s="293"/>
      <c r="K238" s="293"/>
      <c r="L238" s="293"/>
      <c r="M238" s="450"/>
      <c r="N238" s="293"/>
      <c r="O238" s="293"/>
      <c r="P238" s="293"/>
      <c r="Q238" s="293"/>
      <c r="R238" s="451"/>
      <c r="S238" s="451"/>
      <c r="T238" s="293"/>
      <c r="U238" s="293"/>
      <c r="V238" s="293"/>
      <c r="W238" s="293"/>
      <c r="X238" s="293"/>
      <c r="Y238" s="293"/>
      <c r="Z238" s="293"/>
      <c r="AA238" s="293"/>
      <c r="AB238" s="293"/>
      <c r="AC238" s="293"/>
      <c r="AD238" s="293"/>
      <c r="AE238" s="293"/>
      <c r="AF238" s="293"/>
      <c r="AG238" s="293"/>
      <c r="AH238" s="293"/>
      <c r="AI238" s="293"/>
      <c r="AJ238" s="293"/>
      <c r="AK238" s="293"/>
      <c r="AL238" s="293"/>
      <c r="AM238" s="293"/>
      <c r="AN238" s="293"/>
      <c r="AO238" s="293"/>
      <c r="AP238" s="293"/>
      <c r="AQ238" s="293"/>
    </row>
    <row r="239" spans="2:43" x14ac:dyDescent="0.2">
      <c r="B239" s="293"/>
      <c r="C239" s="293"/>
      <c r="D239" s="293"/>
      <c r="E239" s="293"/>
      <c r="F239" s="293"/>
      <c r="G239" s="293"/>
      <c r="H239" s="293"/>
      <c r="I239" s="293"/>
      <c r="J239" s="293"/>
      <c r="K239" s="293"/>
      <c r="L239" s="293"/>
      <c r="M239" s="450"/>
      <c r="N239" s="293"/>
      <c r="O239" s="293"/>
      <c r="P239" s="293"/>
      <c r="Q239" s="293"/>
      <c r="R239" s="451"/>
      <c r="S239" s="451"/>
      <c r="T239" s="293"/>
      <c r="U239" s="293"/>
      <c r="V239" s="293"/>
      <c r="W239" s="293"/>
      <c r="X239" s="293"/>
      <c r="Y239" s="293"/>
      <c r="Z239" s="293"/>
      <c r="AA239" s="293"/>
      <c r="AB239" s="293"/>
      <c r="AC239" s="293"/>
      <c r="AD239" s="293"/>
      <c r="AE239" s="293"/>
      <c r="AF239" s="293"/>
      <c r="AG239" s="293"/>
      <c r="AH239" s="293"/>
      <c r="AI239" s="293"/>
      <c r="AJ239" s="293"/>
      <c r="AK239" s="293"/>
      <c r="AL239" s="293"/>
      <c r="AM239" s="293"/>
      <c r="AN239" s="293"/>
      <c r="AO239" s="293"/>
      <c r="AP239" s="293"/>
      <c r="AQ239" s="293"/>
    </row>
    <row r="240" spans="2:43" x14ac:dyDescent="0.2">
      <c r="B240" s="293"/>
      <c r="C240" s="293"/>
      <c r="D240" s="293"/>
      <c r="E240" s="293"/>
      <c r="F240" s="293"/>
      <c r="G240" s="293"/>
      <c r="H240" s="293"/>
      <c r="I240" s="293"/>
      <c r="J240" s="293"/>
      <c r="K240" s="293"/>
      <c r="L240" s="293"/>
      <c r="M240" s="450"/>
      <c r="N240" s="293"/>
      <c r="O240" s="293"/>
      <c r="P240" s="293"/>
      <c r="Q240" s="293"/>
      <c r="R240" s="451"/>
      <c r="S240" s="451"/>
      <c r="T240" s="293"/>
      <c r="U240" s="293"/>
      <c r="V240" s="293"/>
      <c r="W240" s="293"/>
      <c r="X240" s="293"/>
      <c r="Y240" s="293"/>
      <c r="Z240" s="293"/>
      <c r="AA240" s="293"/>
      <c r="AB240" s="293"/>
      <c r="AC240" s="293"/>
      <c r="AD240" s="293"/>
      <c r="AE240" s="293"/>
      <c r="AF240" s="293"/>
      <c r="AG240" s="293"/>
      <c r="AH240" s="293"/>
      <c r="AI240" s="293"/>
      <c r="AJ240" s="293"/>
      <c r="AK240" s="293"/>
      <c r="AL240" s="293"/>
      <c r="AM240" s="293"/>
      <c r="AN240" s="293"/>
      <c r="AO240" s="293"/>
      <c r="AP240" s="293"/>
      <c r="AQ240" s="293"/>
    </row>
    <row r="241" spans="2:43" x14ac:dyDescent="0.2">
      <c r="B241" s="293"/>
      <c r="C241" s="293"/>
      <c r="D241" s="293"/>
      <c r="E241" s="293"/>
      <c r="F241" s="293"/>
      <c r="G241" s="293"/>
      <c r="H241" s="293"/>
      <c r="I241" s="293"/>
      <c r="J241" s="293"/>
      <c r="K241" s="293"/>
      <c r="L241" s="293"/>
      <c r="M241" s="450"/>
      <c r="N241" s="293"/>
      <c r="O241" s="293"/>
      <c r="P241" s="293"/>
      <c r="Q241" s="293"/>
      <c r="R241" s="451"/>
      <c r="S241" s="451"/>
      <c r="T241" s="293"/>
      <c r="U241" s="293"/>
      <c r="V241" s="293"/>
      <c r="W241" s="293"/>
      <c r="X241" s="293"/>
      <c r="Y241" s="293"/>
      <c r="Z241" s="293"/>
      <c r="AA241" s="293"/>
      <c r="AB241" s="293"/>
      <c r="AC241" s="293"/>
      <c r="AD241" s="293"/>
      <c r="AE241" s="293"/>
      <c r="AF241" s="293"/>
      <c r="AG241" s="293"/>
      <c r="AH241" s="293"/>
      <c r="AI241" s="293"/>
      <c r="AJ241" s="293"/>
      <c r="AK241" s="293"/>
      <c r="AL241" s="293"/>
      <c r="AM241" s="293"/>
      <c r="AN241" s="293"/>
      <c r="AO241" s="293"/>
      <c r="AP241" s="293"/>
      <c r="AQ241" s="293"/>
    </row>
    <row r="242" spans="2:43" x14ac:dyDescent="0.2">
      <c r="B242" s="293"/>
      <c r="C242" s="293"/>
      <c r="D242" s="293"/>
      <c r="E242" s="293"/>
      <c r="F242" s="293"/>
      <c r="G242" s="293"/>
      <c r="H242" s="293"/>
      <c r="I242" s="293"/>
      <c r="J242" s="293"/>
      <c r="K242" s="293"/>
      <c r="L242" s="293"/>
      <c r="M242" s="450"/>
      <c r="N242" s="293"/>
      <c r="O242" s="293"/>
      <c r="P242" s="293"/>
      <c r="Q242" s="293"/>
      <c r="R242" s="451"/>
      <c r="S242" s="451"/>
      <c r="T242" s="293"/>
      <c r="U242" s="293"/>
      <c r="V242" s="293"/>
      <c r="W242" s="293"/>
      <c r="X242" s="293"/>
      <c r="Y242" s="293"/>
      <c r="Z242" s="293"/>
      <c r="AA242" s="293"/>
      <c r="AB242" s="293"/>
      <c r="AC242" s="293"/>
      <c r="AD242" s="293"/>
      <c r="AE242" s="293"/>
      <c r="AF242" s="293"/>
      <c r="AG242" s="293"/>
      <c r="AH242" s="293"/>
      <c r="AI242" s="293"/>
      <c r="AJ242" s="293"/>
      <c r="AK242" s="293"/>
      <c r="AL242" s="293"/>
      <c r="AM242" s="293"/>
      <c r="AN242" s="293"/>
      <c r="AO242" s="293"/>
      <c r="AP242" s="293"/>
      <c r="AQ242" s="293"/>
    </row>
    <row r="243" spans="2:43" x14ac:dyDescent="0.2">
      <c r="B243" s="293"/>
      <c r="C243" s="293"/>
      <c r="D243" s="293"/>
      <c r="E243" s="293"/>
      <c r="F243" s="293"/>
      <c r="G243" s="293"/>
      <c r="H243" s="293"/>
      <c r="I243" s="293"/>
      <c r="J243" s="293"/>
      <c r="K243" s="293"/>
      <c r="L243" s="293"/>
      <c r="M243" s="450"/>
      <c r="N243" s="293"/>
      <c r="O243" s="293"/>
      <c r="P243" s="293"/>
      <c r="Q243" s="293"/>
      <c r="R243" s="451"/>
      <c r="S243" s="451"/>
      <c r="T243" s="293"/>
      <c r="U243" s="293"/>
      <c r="V243" s="293"/>
      <c r="W243" s="293"/>
      <c r="X243" s="293"/>
      <c r="Y243" s="293"/>
      <c r="Z243" s="293"/>
      <c r="AA243" s="293"/>
      <c r="AB243" s="293"/>
      <c r="AC243" s="293"/>
      <c r="AD243" s="293"/>
      <c r="AE243" s="293"/>
      <c r="AF243" s="293"/>
      <c r="AG243" s="293"/>
      <c r="AH243" s="293"/>
      <c r="AI243" s="293"/>
      <c r="AJ243" s="293"/>
      <c r="AK243" s="293"/>
      <c r="AL243" s="293"/>
      <c r="AM243" s="293"/>
      <c r="AN243" s="293"/>
      <c r="AO243" s="293"/>
      <c r="AP243" s="293"/>
      <c r="AQ243" s="293"/>
    </row>
    <row r="244" spans="2:43" x14ac:dyDescent="0.2">
      <c r="B244" s="293"/>
      <c r="C244" s="293"/>
      <c r="D244" s="293"/>
      <c r="E244" s="293"/>
      <c r="F244" s="293"/>
      <c r="G244" s="293"/>
      <c r="H244" s="293"/>
      <c r="I244" s="293"/>
      <c r="J244" s="293"/>
      <c r="K244" s="293"/>
      <c r="L244" s="293"/>
      <c r="M244" s="450"/>
      <c r="N244" s="293"/>
      <c r="O244" s="293"/>
      <c r="P244" s="293"/>
      <c r="Q244" s="293"/>
      <c r="R244" s="451"/>
      <c r="S244" s="451"/>
      <c r="T244" s="293"/>
      <c r="U244" s="293"/>
      <c r="V244" s="293"/>
      <c r="W244" s="293"/>
      <c r="X244" s="293"/>
      <c r="Y244" s="293"/>
      <c r="Z244" s="293"/>
      <c r="AA244" s="293"/>
      <c r="AB244" s="293"/>
      <c r="AC244" s="293"/>
      <c r="AD244" s="293"/>
      <c r="AE244" s="293"/>
      <c r="AF244" s="293"/>
      <c r="AG244" s="293"/>
      <c r="AH244" s="293"/>
      <c r="AI244" s="293"/>
      <c r="AJ244" s="293"/>
      <c r="AK244" s="293"/>
      <c r="AL244" s="293"/>
      <c r="AM244" s="293"/>
      <c r="AN244" s="293"/>
      <c r="AO244" s="293"/>
      <c r="AP244" s="293"/>
      <c r="AQ244" s="293"/>
    </row>
    <row r="245" spans="2:43" x14ac:dyDescent="0.2">
      <c r="B245" s="293"/>
      <c r="C245" s="293"/>
      <c r="D245" s="293"/>
      <c r="E245" s="293"/>
      <c r="F245" s="293"/>
      <c r="G245" s="293"/>
      <c r="H245" s="293"/>
      <c r="I245" s="293"/>
      <c r="J245" s="293"/>
      <c r="K245" s="293"/>
      <c r="L245" s="293"/>
      <c r="M245" s="450"/>
      <c r="N245" s="293"/>
      <c r="O245" s="293"/>
      <c r="P245" s="293"/>
      <c r="Q245" s="293"/>
      <c r="R245" s="451"/>
      <c r="S245" s="451"/>
      <c r="T245" s="293"/>
      <c r="U245" s="293"/>
      <c r="V245" s="293"/>
      <c r="W245" s="293"/>
      <c r="X245" s="293"/>
      <c r="Y245" s="293"/>
      <c r="Z245" s="293"/>
      <c r="AA245" s="293"/>
      <c r="AB245" s="293"/>
      <c r="AC245" s="293"/>
      <c r="AD245" s="293"/>
      <c r="AE245" s="293"/>
      <c r="AF245" s="293"/>
      <c r="AG245" s="293"/>
      <c r="AH245" s="293"/>
      <c r="AI245" s="293"/>
      <c r="AJ245" s="293"/>
      <c r="AK245" s="293"/>
      <c r="AL245" s="293"/>
      <c r="AM245" s="293"/>
      <c r="AN245" s="293"/>
      <c r="AO245" s="293"/>
      <c r="AP245" s="293"/>
      <c r="AQ245" s="293"/>
    </row>
    <row r="246" spans="2:43" x14ac:dyDescent="0.2">
      <c r="B246" s="293"/>
      <c r="C246" s="293"/>
      <c r="D246" s="293"/>
      <c r="E246" s="293"/>
      <c r="F246" s="293"/>
      <c r="G246" s="293"/>
      <c r="H246" s="293"/>
      <c r="I246" s="293"/>
      <c r="J246" s="293"/>
      <c r="K246" s="293"/>
      <c r="L246" s="293"/>
      <c r="M246" s="450"/>
      <c r="N246" s="293"/>
      <c r="O246" s="293"/>
      <c r="P246" s="293"/>
      <c r="Q246" s="293"/>
      <c r="R246" s="451"/>
      <c r="S246" s="451"/>
      <c r="T246" s="293"/>
      <c r="U246" s="293"/>
      <c r="V246" s="293"/>
      <c r="W246" s="293"/>
      <c r="X246" s="293"/>
      <c r="Y246" s="293"/>
      <c r="Z246" s="293"/>
      <c r="AA246" s="293"/>
      <c r="AB246" s="293"/>
      <c r="AC246" s="293"/>
      <c r="AD246" s="293"/>
      <c r="AE246" s="293"/>
      <c r="AF246" s="293"/>
      <c r="AG246" s="293"/>
      <c r="AH246" s="293"/>
      <c r="AI246" s="293"/>
      <c r="AJ246" s="293"/>
      <c r="AK246" s="293"/>
      <c r="AL246" s="293"/>
      <c r="AM246" s="293"/>
      <c r="AN246" s="293"/>
      <c r="AO246" s="293"/>
      <c r="AP246" s="293"/>
      <c r="AQ246" s="293"/>
    </row>
    <row r="247" spans="2:43" x14ac:dyDescent="0.2">
      <c r="B247" s="293"/>
      <c r="C247" s="293"/>
      <c r="D247" s="293"/>
      <c r="E247" s="293"/>
      <c r="F247" s="293"/>
      <c r="G247" s="293"/>
      <c r="H247" s="293"/>
      <c r="I247" s="293"/>
      <c r="J247" s="293"/>
      <c r="K247" s="293"/>
      <c r="L247" s="293"/>
      <c r="M247" s="450"/>
      <c r="N247" s="293"/>
      <c r="O247" s="293"/>
      <c r="P247" s="293"/>
      <c r="Q247" s="293"/>
      <c r="R247" s="451"/>
      <c r="S247" s="451"/>
      <c r="T247" s="293"/>
      <c r="U247" s="293"/>
      <c r="V247" s="293"/>
      <c r="W247" s="293"/>
      <c r="X247" s="293"/>
      <c r="Y247" s="293"/>
      <c r="Z247" s="293"/>
      <c r="AA247" s="293"/>
      <c r="AB247" s="293"/>
      <c r="AC247" s="293"/>
      <c r="AD247" s="293"/>
      <c r="AE247" s="293"/>
      <c r="AF247" s="293"/>
      <c r="AG247" s="293"/>
      <c r="AH247" s="293"/>
      <c r="AI247" s="293"/>
      <c r="AJ247" s="293"/>
      <c r="AK247" s="293"/>
      <c r="AL247" s="293"/>
      <c r="AM247" s="293"/>
      <c r="AN247" s="293"/>
      <c r="AO247" s="293"/>
      <c r="AP247" s="293"/>
      <c r="AQ247" s="293"/>
    </row>
    <row r="248" spans="2:43" x14ac:dyDescent="0.2">
      <c r="B248" s="293"/>
      <c r="C248" s="293"/>
      <c r="D248" s="293"/>
      <c r="E248" s="293"/>
      <c r="F248" s="293"/>
      <c r="G248" s="293"/>
      <c r="H248" s="293"/>
      <c r="I248" s="293"/>
      <c r="J248" s="293"/>
      <c r="K248" s="293"/>
      <c r="L248" s="293"/>
      <c r="M248" s="450"/>
      <c r="N248" s="293"/>
      <c r="O248" s="293"/>
      <c r="P248" s="293"/>
      <c r="Q248" s="293"/>
      <c r="R248" s="451"/>
      <c r="S248" s="451"/>
      <c r="T248" s="293"/>
      <c r="U248" s="293"/>
      <c r="V248" s="293"/>
      <c r="W248" s="293"/>
      <c r="X248" s="293"/>
      <c r="Y248" s="293"/>
      <c r="Z248" s="293"/>
      <c r="AA248" s="293"/>
      <c r="AB248" s="293"/>
      <c r="AC248" s="293"/>
      <c r="AD248" s="293"/>
      <c r="AE248" s="293"/>
      <c r="AF248" s="293"/>
      <c r="AG248" s="293"/>
      <c r="AH248" s="293"/>
      <c r="AI248" s="293"/>
      <c r="AJ248" s="293"/>
      <c r="AK248" s="293"/>
      <c r="AL248" s="293"/>
      <c r="AM248" s="293"/>
      <c r="AN248" s="293"/>
      <c r="AO248" s="293"/>
      <c r="AP248" s="293"/>
      <c r="AQ248" s="293"/>
    </row>
    <row r="249" spans="2:43" x14ac:dyDescent="0.2">
      <c r="B249" s="293"/>
      <c r="C249" s="293"/>
      <c r="D249" s="293"/>
      <c r="E249" s="293"/>
      <c r="F249" s="293"/>
      <c r="G249" s="293"/>
      <c r="H249" s="293"/>
      <c r="I249" s="293"/>
      <c r="J249" s="293"/>
      <c r="K249" s="293"/>
      <c r="L249" s="293"/>
      <c r="M249" s="450"/>
      <c r="N249" s="293"/>
      <c r="O249" s="293"/>
      <c r="P249" s="293"/>
      <c r="Q249" s="293"/>
      <c r="R249" s="451"/>
      <c r="S249" s="451"/>
      <c r="T249" s="293"/>
      <c r="U249" s="293"/>
      <c r="V249" s="293"/>
      <c r="W249" s="293"/>
      <c r="X249" s="293"/>
      <c r="Y249" s="293"/>
      <c r="Z249" s="293"/>
      <c r="AA249" s="293"/>
      <c r="AB249" s="293"/>
      <c r="AC249" s="293"/>
      <c r="AD249" s="293"/>
      <c r="AE249" s="293"/>
      <c r="AF249" s="293"/>
      <c r="AG249" s="293"/>
      <c r="AH249" s="293"/>
      <c r="AI249" s="293"/>
      <c r="AJ249" s="293"/>
      <c r="AK249" s="293"/>
      <c r="AL249" s="293"/>
      <c r="AM249" s="293"/>
      <c r="AN249" s="293"/>
      <c r="AO249" s="293"/>
      <c r="AP249" s="293"/>
      <c r="AQ249" s="293"/>
    </row>
    <row r="250" spans="2:43" x14ac:dyDescent="0.2">
      <c r="B250" s="293"/>
      <c r="C250" s="293"/>
      <c r="D250" s="293"/>
      <c r="E250" s="293"/>
      <c r="F250" s="293"/>
      <c r="G250" s="293"/>
      <c r="H250" s="293"/>
      <c r="I250" s="293"/>
      <c r="J250" s="293"/>
      <c r="K250" s="293"/>
      <c r="L250" s="293"/>
      <c r="M250" s="450"/>
      <c r="N250" s="293"/>
      <c r="O250" s="293"/>
      <c r="P250" s="293"/>
      <c r="Q250" s="293"/>
      <c r="R250" s="451"/>
      <c r="S250" s="451"/>
      <c r="T250" s="293"/>
      <c r="U250" s="293"/>
      <c r="V250" s="293"/>
      <c r="W250" s="293"/>
      <c r="X250" s="293"/>
      <c r="Y250" s="293"/>
      <c r="Z250" s="293"/>
      <c r="AA250" s="293"/>
      <c r="AB250" s="293"/>
      <c r="AC250" s="293"/>
      <c r="AD250" s="293"/>
      <c r="AE250" s="293"/>
      <c r="AF250" s="293"/>
      <c r="AG250" s="293"/>
      <c r="AH250" s="293"/>
      <c r="AI250" s="293"/>
      <c r="AJ250" s="293"/>
      <c r="AK250" s="293"/>
      <c r="AL250" s="293"/>
      <c r="AM250" s="293"/>
      <c r="AN250" s="293"/>
      <c r="AO250" s="293"/>
      <c r="AP250" s="293"/>
      <c r="AQ250" s="293"/>
    </row>
    <row r="251" spans="2:43" x14ac:dyDescent="0.2">
      <c r="B251" s="293"/>
      <c r="C251" s="293"/>
      <c r="D251" s="293"/>
      <c r="E251" s="293"/>
      <c r="F251" s="293"/>
      <c r="G251" s="293"/>
      <c r="H251" s="293"/>
      <c r="I251" s="293"/>
      <c r="J251" s="293"/>
      <c r="K251" s="293"/>
      <c r="L251" s="293"/>
      <c r="M251" s="450"/>
      <c r="N251" s="293"/>
      <c r="O251" s="293"/>
      <c r="P251" s="293"/>
      <c r="Q251" s="293"/>
      <c r="R251" s="451"/>
      <c r="S251" s="451"/>
      <c r="T251" s="293"/>
      <c r="U251" s="293"/>
      <c r="V251" s="293"/>
      <c r="W251" s="293"/>
      <c r="X251" s="293"/>
      <c r="Y251" s="293"/>
      <c r="Z251" s="293"/>
      <c r="AA251" s="293"/>
      <c r="AB251" s="293"/>
      <c r="AC251" s="293"/>
      <c r="AD251" s="293"/>
      <c r="AE251" s="293"/>
      <c r="AF251" s="293"/>
      <c r="AG251" s="293"/>
      <c r="AH251" s="293"/>
      <c r="AI251" s="293"/>
      <c r="AJ251" s="293"/>
      <c r="AK251" s="293"/>
      <c r="AL251" s="293"/>
      <c r="AM251" s="293"/>
      <c r="AN251" s="293"/>
      <c r="AO251" s="293"/>
      <c r="AP251" s="293"/>
      <c r="AQ251" s="293"/>
    </row>
    <row r="252" spans="2:43" x14ac:dyDescent="0.2">
      <c r="B252" s="293"/>
      <c r="C252" s="293"/>
      <c r="D252" s="293"/>
      <c r="E252" s="293"/>
      <c r="F252" s="293"/>
      <c r="G252" s="293"/>
      <c r="H252" s="293"/>
      <c r="I252" s="293"/>
      <c r="J252" s="293"/>
      <c r="K252" s="293"/>
      <c r="L252" s="293"/>
      <c r="M252" s="450"/>
      <c r="N252" s="293"/>
      <c r="O252" s="293"/>
      <c r="P252" s="293"/>
      <c r="Q252" s="293"/>
      <c r="R252" s="451"/>
      <c r="S252" s="451"/>
      <c r="T252" s="293"/>
      <c r="U252" s="293"/>
      <c r="V252" s="293"/>
      <c r="W252" s="293"/>
      <c r="X252" s="293"/>
      <c r="Y252" s="293"/>
      <c r="Z252" s="293"/>
      <c r="AA252" s="293"/>
      <c r="AB252" s="293"/>
      <c r="AC252" s="293"/>
      <c r="AD252" s="293"/>
      <c r="AE252" s="293"/>
      <c r="AF252" s="293"/>
      <c r="AG252" s="293"/>
      <c r="AH252" s="293"/>
      <c r="AI252" s="293"/>
      <c r="AJ252" s="293"/>
      <c r="AK252" s="293"/>
      <c r="AL252" s="293"/>
      <c r="AM252" s="293"/>
      <c r="AN252" s="293"/>
      <c r="AO252" s="293"/>
      <c r="AP252" s="293"/>
      <c r="AQ252" s="293"/>
    </row>
    <row r="253" spans="2:43" x14ac:dyDescent="0.2">
      <c r="B253" s="293"/>
      <c r="C253" s="293"/>
      <c r="D253" s="293"/>
      <c r="E253" s="293"/>
      <c r="F253" s="293"/>
      <c r="G253" s="293"/>
      <c r="H253" s="293"/>
      <c r="I253" s="293"/>
      <c r="J253" s="293"/>
      <c r="K253" s="293"/>
      <c r="L253" s="293"/>
      <c r="M253" s="450"/>
      <c r="N253" s="293"/>
      <c r="O253" s="293"/>
      <c r="P253" s="293"/>
      <c r="Q253" s="293"/>
      <c r="R253" s="451"/>
      <c r="S253" s="451"/>
      <c r="T253" s="293"/>
      <c r="U253" s="293"/>
      <c r="V253" s="293"/>
      <c r="W253" s="293"/>
      <c r="X253" s="293"/>
      <c r="Y253" s="293"/>
      <c r="Z253" s="293"/>
      <c r="AA253" s="293"/>
      <c r="AB253" s="293"/>
      <c r="AC253" s="293"/>
      <c r="AD253" s="293"/>
      <c r="AE253" s="293"/>
      <c r="AF253" s="293"/>
      <c r="AG253" s="293"/>
      <c r="AH253" s="293"/>
      <c r="AI253" s="293"/>
      <c r="AJ253" s="293"/>
      <c r="AK253" s="293"/>
      <c r="AL253" s="293"/>
      <c r="AM253" s="293"/>
      <c r="AN253" s="293"/>
      <c r="AO253" s="293"/>
      <c r="AP253" s="293"/>
      <c r="AQ253" s="293"/>
    </row>
    <row r="254" spans="2:43" x14ac:dyDescent="0.2">
      <c r="B254" s="293"/>
      <c r="C254" s="293"/>
      <c r="D254" s="293"/>
      <c r="E254" s="293"/>
      <c r="F254" s="293"/>
      <c r="G254" s="293"/>
      <c r="H254" s="293"/>
      <c r="I254" s="293"/>
      <c r="J254" s="293"/>
      <c r="K254" s="293"/>
      <c r="L254" s="293"/>
      <c r="M254" s="450"/>
      <c r="N254" s="293"/>
      <c r="O254" s="293"/>
      <c r="P254" s="293"/>
      <c r="Q254" s="293"/>
      <c r="R254" s="451"/>
      <c r="S254" s="451"/>
      <c r="T254" s="293"/>
      <c r="U254" s="293"/>
      <c r="V254" s="293"/>
      <c r="W254" s="293"/>
      <c r="X254" s="293"/>
      <c r="Y254" s="293"/>
      <c r="Z254" s="293"/>
      <c r="AA254" s="293"/>
      <c r="AB254" s="293"/>
      <c r="AC254" s="293"/>
      <c r="AD254" s="293"/>
      <c r="AE254" s="293"/>
      <c r="AF254" s="293"/>
      <c r="AG254" s="293"/>
      <c r="AH254" s="293"/>
      <c r="AI254" s="293"/>
      <c r="AJ254" s="293"/>
      <c r="AK254" s="293"/>
      <c r="AL254" s="293"/>
      <c r="AM254" s="293"/>
      <c r="AN254" s="293"/>
      <c r="AO254" s="293"/>
      <c r="AP254" s="293"/>
      <c r="AQ254" s="293"/>
    </row>
    <row r="255" spans="2:43" x14ac:dyDescent="0.2">
      <c r="B255" s="293"/>
      <c r="C255" s="293"/>
      <c r="D255" s="293"/>
      <c r="E255" s="293"/>
      <c r="F255" s="293"/>
      <c r="G255" s="293"/>
      <c r="H255" s="293"/>
      <c r="I255" s="293"/>
      <c r="J255" s="293"/>
      <c r="K255" s="293"/>
      <c r="L255" s="293"/>
      <c r="M255" s="450"/>
      <c r="N255" s="293"/>
      <c r="O255" s="293"/>
      <c r="P255" s="293"/>
      <c r="Q255" s="293"/>
      <c r="R255" s="451"/>
      <c r="S255" s="451"/>
      <c r="T255" s="293"/>
      <c r="U255" s="293"/>
      <c r="V255" s="293"/>
      <c r="W255" s="293"/>
      <c r="X255" s="293"/>
      <c r="Y255" s="293"/>
      <c r="Z255" s="293"/>
      <c r="AA255" s="293"/>
      <c r="AB255" s="293"/>
      <c r="AC255" s="293"/>
      <c r="AD255" s="293"/>
      <c r="AE255" s="293"/>
      <c r="AF255" s="293"/>
      <c r="AG255" s="293"/>
      <c r="AH255" s="293"/>
      <c r="AI255" s="293"/>
      <c r="AJ255" s="293"/>
      <c r="AK255" s="293"/>
      <c r="AL255" s="293"/>
      <c r="AM255" s="293"/>
      <c r="AN255" s="293"/>
      <c r="AO255" s="293"/>
      <c r="AP255" s="293"/>
      <c r="AQ255" s="293"/>
    </row>
    <row r="256" spans="2:43" x14ac:dyDescent="0.2">
      <c r="B256" s="293"/>
      <c r="C256" s="293"/>
      <c r="D256" s="293"/>
      <c r="E256" s="293"/>
      <c r="F256" s="293"/>
      <c r="G256" s="293"/>
      <c r="H256" s="293"/>
      <c r="I256" s="293"/>
      <c r="J256" s="293"/>
      <c r="K256" s="293"/>
      <c r="L256" s="293"/>
      <c r="M256" s="450"/>
      <c r="N256" s="293"/>
      <c r="O256" s="293"/>
      <c r="P256" s="293"/>
      <c r="Q256" s="293"/>
      <c r="R256" s="451"/>
      <c r="S256" s="451"/>
      <c r="T256" s="293"/>
      <c r="U256" s="293"/>
      <c r="V256" s="293"/>
      <c r="W256" s="293"/>
      <c r="X256" s="293"/>
      <c r="Y256" s="293"/>
      <c r="Z256" s="293"/>
      <c r="AA256" s="293"/>
      <c r="AB256" s="293"/>
      <c r="AC256" s="293"/>
      <c r="AD256" s="293"/>
      <c r="AE256" s="293"/>
      <c r="AF256" s="293"/>
      <c r="AG256" s="293"/>
      <c r="AH256" s="293"/>
      <c r="AI256" s="293"/>
      <c r="AJ256" s="293"/>
      <c r="AK256" s="293"/>
      <c r="AL256" s="293"/>
      <c r="AM256" s="293"/>
      <c r="AN256" s="293"/>
      <c r="AO256" s="293"/>
      <c r="AP256" s="293"/>
      <c r="AQ256" s="293"/>
    </row>
    <row r="257" spans="2:43" x14ac:dyDescent="0.2">
      <c r="B257" s="293"/>
      <c r="C257" s="293"/>
      <c r="D257" s="293"/>
      <c r="E257" s="293"/>
      <c r="F257" s="293"/>
      <c r="G257" s="293"/>
      <c r="H257" s="293"/>
      <c r="I257" s="293"/>
      <c r="J257" s="293"/>
      <c r="K257" s="293"/>
      <c r="L257" s="293"/>
      <c r="M257" s="450"/>
      <c r="N257" s="293"/>
      <c r="O257" s="293"/>
      <c r="P257" s="293"/>
      <c r="Q257" s="293"/>
      <c r="R257" s="451"/>
      <c r="S257" s="451"/>
      <c r="T257" s="293"/>
      <c r="U257" s="293"/>
      <c r="V257" s="293"/>
      <c r="W257" s="293"/>
      <c r="X257" s="293"/>
      <c r="Y257" s="293"/>
      <c r="Z257" s="293"/>
      <c r="AA257" s="293"/>
      <c r="AB257" s="293"/>
      <c r="AC257" s="293"/>
      <c r="AD257" s="293"/>
      <c r="AE257" s="293"/>
      <c r="AF257" s="293"/>
      <c r="AG257" s="293"/>
      <c r="AH257" s="293"/>
      <c r="AI257" s="293"/>
      <c r="AJ257" s="293"/>
      <c r="AK257" s="293"/>
      <c r="AL257" s="293"/>
      <c r="AM257" s="293"/>
      <c r="AN257" s="293"/>
      <c r="AO257" s="293"/>
      <c r="AP257" s="293"/>
      <c r="AQ257" s="293"/>
    </row>
    <row r="258" spans="2:43" x14ac:dyDescent="0.2">
      <c r="B258" s="293"/>
      <c r="C258" s="293"/>
      <c r="D258" s="293"/>
      <c r="E258" s="293"/>
      <c r="F258" s="293"/>
      <c r="G258" s="293"/>
      <c r="H258" s="293"/>
      <c r="I258" s="293"/>
      <c r="J258" s="293"/>
      <c r="K258" s="293"/>
      <c r="L258" s="293"/>
      <c r="M258" s="450"/>
      <c r="N258" s="293"/>
      <c r="O258" s="293"/>
      <c r="P258" s="293"/>
      <c r="Q258" s="293"/>
      <c r="R258" s="451"/>
      <c r="S258" s="451"/>
      <c r="T258" s="293"/>
      <c r="U258" s="293"/>
      <c r="V258" s="293"/>
      <c r="W258" s="293"/>
      <c r="X258" s="293"/>
      <c r="Y258" s="293"/>
      <c r="Z258" s="293"/>
      <c r="AA258" s="293"/>
      <c r="AB258" s="293"/>
      <c r="AC258" s="293"/>
      <c r="AD258" s="293"/>
      <c r="AE258" s="293"/>
      <c r="AF258" s="293"/>
      <c r="AG258" s="293"/>
      <c r="AH258" s="293"/>
      <c r="AI258" s="293"/>
      <c r="AJ258" s="293"/>
      <c r="AK258" s="293"/>
      <c r="AL258" s="293"/>
      <c r="AM258" s="293"/>
      <c r="AN258" s="293"/>
      <c r="AO258" s="293"/>
      <c r="AP258" s="293"/>
      <c r="AQ258" s="293"/>
    </row>
    <row r="259" spans="2:43" x14ac:dyDescent="0.2">
      <c r="B259" s="293"/>
      <c r="C259" s="293"/>
      <c r="D259" s="293"/>
      <c r="E259" s="293"/>
      <c r="F259" s="293"/>
      <c r="G259" s="293"/>
      <c r="H259" s="293"/>
      <c r="I259" s="293"/>
      <c r="J259" s="293"/>
      <c r="K259" s="293"/>
      <c r="L259" s="293"/>
      <c r="M259" s="450"/>
      <c r="N259" s="293"/>
      <c r="O259" s="293"/>
      <c r="P259" s="293"/>
      <c r="Q259" s="293"/>
      <c r="R259" s="451"/>
      <c r="S259" s="451"/>
      <c r="T259" s="293"/>
      <c r="U259" s="293"/>
      <c r="V259" s="293"/>
      <c r="W259" s="293"/>
      <c r="X259" s="293"/>
      <c r="Y259" s="293"/>
      <c r="Z259" s="293"/>
      <c r="AA259" s="293"/>
      <c r="AB259" s="293"/>
      <c r="AC259" s="293"/>
      <c r="AD259" s="293"/>
      <c r="AE259" s="293"/>
      <c r="AF259" s="293"/>
      <c r="AG259" s="293"/>
      <c r="AH259" s="293"/>
      <c r="AI259" s="293"/>
      <c r="AJ259" s="293"/>
      <c r="AK259" s="293"/>
      <c r="AL259" s="293"/>
      <c r="AM259" s="293"/>
      <c r="AN259" s="293"/>
      <c r="AO259" s="293"/>
      <c r="AP259" s="293"/>
      <c r="AQ259" s="293"/>
    </row>
  </sheetData>
  <sheetProtection algorithmName="SHA-512" hashValue="+qhV7BACBbFvMy7HSNP5qiARqNyE0+yefu9cdfJLfRX8UOhfYdk8llVPaqLEfsetuKR8GG5WxNXjFH4F7/mwNg==" saltValue="VnqBHiQC4FJK8/c2+sOPPA==" spinCount="100000" sheet="1" selectLockedCells="1"/>
  <mergeCells count="51">
    <mergeCell ref="S5:AB5"/>
    <mergeCell ref="G6:H6"/>
    <mergeCell ref="C6:D6"/>
    <mergeCell ref="E6:F6"/>
    <mergeCell ref="T36:V36"/>
    <mergeCell ref="T33:V33"/>
    <mergeCell ref="E30:F30"/>
    <mergeCell ref="S7:AB31"/>
    <mergeCell ref="K19:P19"/>
    <mergeCell ref="K23:P23"/>
    <mergeCell ref="K31:P31"/>
    <mergeCell ref="E42:F42"/>
    <mergeCell ref="C42:D42"/>
    <mergeCell ref="C18:D18"/>
    <mergeCell ref="E18:F18"/>
    <mergeCell ref="G18:H18"/>
    <mergeCell ref="G30:H30"/>
    <mergeCell ref="C30:D30"/>
    <mergeCell ref="G42:H42"/>
    <mergeCell ref="K55:P55"/>
    <mergeCell ref="T39:W39"/>
    <mergeCell ref="K105:P105"/>
    <mergeCell ref="K69:P69"/>
    <mergeCell ref="K43:P43"/>
    <mergeCell ref="E80:F80"/>
    <mergeCell ref="C68:D68"/>
    <mergeCell ref="E68:F68"/>
    <mergeCell ref="G68:H68"/>
    <mergeCell ref="K109:P109"/>
    <mergeCell ref="C104:D104"/>
    <mergeCell ref="E104:F104"/>
    <mergeCell ref="G104:H104"/>
    <mergeCell ref="G80:H80"/>
    <mergeCell ref="K93:P93"/>
    <mergeCell ref="K81:P81"/>
    <mergeCell ref="C121:D121"/>
    <mergeCell ref="K6:P6"/>
    <mergeCell ref="C118:D118"/>
    <mergeCell ref="C119:D119"/>
    <mergeCell ref="C120:D120"/>
    <mergeCell ref="K117:P117"/>
    <mergeCell ref="C116:D116"/>
    <mergeCell ref="E116:F116"/>
    <mergeCell ref="G116:H116"/>
    <mergeCell ref="C54:D54"/>
    <mergeCell ref="E54:F54"/>
    <mergeCell ref="G54:H54"/>
    <mergeCell ref="C92:D92"/>
    <mergeCell ref="E92:F92"/>
    <mergeCell ref="G92:H92"/>
    <mergeCell ref="C80:D80"/>
  </mergeCells>
  <phoneticPr fontId="2" type="noConversion"/>
  <hyperlinks>
    <hyperlink ref="K55" r:id="rId1" xr:uid="{00000000-0004-0000-0500-000000000000}"/>
    <hyperlink ref="K105" r:id="rId2" xr:uid="{00000000-0004-0000-0500-000004000000}"/>
    <hyperlink ref="K109" r:id="rId3" xr:uid="{00000000-0004-0000-0500-000005000000}"/>
    <hyperlink ref="AF7" r:id="rId4" xr:uid="{00000000-0004-0000-0500-000006000000}"/>
    <hyperlink ref="AF8" r:id="rId5" xr:uid="{00000000-0004-0000-0500-000007000000}"/>
    <hyperlink ref="K93" r:id="rId6" xr:uid="{893E6FCC-A0C6-4995-BC6D-5FD0D086A6F9}"/>
    <hyperlink ref="K19" r:id="rId7" location="search=photovoltaik" xr:uid="{00000000-0004-0000-0500-000002000000}"/>
    <hyperlink ref="K69" r:id="rId8" xr:uid="{679BD02E-C776-4E68-B033-E5E749EC06A3}"/>
    <hyperlink ref="K81" r:id="rId9" xr:uid="{BCE03090-4E4B-4A55-90E2-24DD9727EAEF}"/>
    <hyperlink ref="K43" r:id="rId10" xr:uid="{82E94DB2-9690-4FB8-B592-B7F7F2E35A7A}"/>
    <hyperlink ref="AF9" r:id="rId11" xr:uid="{BC96F3F2-E431-479B-9BE5-392209FDD78D}"/>
    <hyperlink ref="K31" r:id="rId12" xr:uid="{89405E3D-2F3F-4E47-B976-02E3D15F72C3}"/>
    <hyperlink ref="AF14" r:id="rId13" xr:uid="{FB9800A1-BA5A-4DD1-9F37-69A74D0B829C}"/>
    <hyperlink ref="K23" r:id="rId14" location="search=photovoltaik" xr:uid="{00000000-0004-0000-0500-000003000000}"/>
    <hyperlink ref="K6" r:id="rId15" xr:uid="{20933C0B-107C-484B-8002-813027ACB8E4}"/>
    <hyperlink ref="K117" r:id="rId16" xr:uid="{8AA7714B-1B9E-4ADA-88FE-54E1DBB1020C}"/>
    <hyperlink ref="AF18" r:id="rId17" xr:uid="{F5542034-D703-4C8A-B187-7AC88ADE9351}"/>
  </hyperlinks>
  <printOptions horizontalCentered="1"/>
  <pageMargins left="0.59055118110236227" right="0.59055118110236227" top="0.59055118110236227" bottom="0.59055118110236227" header="0.51181102362204722" footer="0.51181102362204722"/>
  <pageSetup paperSize="9" scale="55" orientation="portrait" r:id="rId18"/>
  <headerFooter alignWithMargins="0">
    <oddFooter>&amp;R_x000D_&amp;1#&amp;"Arial"&amp;7&amp;K000000 Klassifizierung: Vertraulich/Confidential</oddFooter>
  </headerFooter>
  <colBreaks count="1" manualBreakCount="1">
    <brk id="18" max="1048575" man="1"/>
  </colBreaks>
  <drawing r:id="rId1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8">
    <tabColor indexed="22"/>
  </sheetPr>
  <dimension ref="A1:M54"/>
  <sheetViews>
    <sheetView zoomScale="75" zoomScaleNormal="75" workbookViewId="0">
      <selection activeCell="N10" sqref="N10"/>
    </sheetView>
  </sheetViews>
  <sheetFormatPr baseColWidth="10" defaultColWidth="11.28515625" defaultRowHeight="12.75" x14ac:dyDescent="0.2"/>
  <cols>
    <col min="1" max="1" width="24" style="1" bestFit="1" customWidth="1"/>
    <col min="2" max="3" width="6.28515625" style="2" bestFit="1" customWidth="1"/>
    <col min="4" max="4" width="23.140625" style="1" customWidth="1"/>
    <col min="5" max="5" width="23.28515625" style="1" bestFit="1" customWidth="1"/>
    <col min="6" max="6" width="28" style="1" bestFit="1" customWidth="1"/>
    <col min="7" max="7" width="12.7109375" style="1" bestFit="1" customWidth="1"/>
    <col min="8" max="8" width="12.85546875" style="1" bestFit="1" customWidth="1"/>
    <col min="9" max="9" width="29.140625" style="1" customWidth="1"/>
    <col min="10" max="10" width="11.28515625" style="1"/>
    <col min="11" max="11" width="13" style="1" customWidth="1"/>
    <col min="12" max="12" width="8.85546875" style="1" customWidth="1"/>
    <col min="13" max="13" width="9.85546875" style="1" customWidth="1"/>
    <col min="14" max="16384" width="11.28515625" style="1"/>
  </cols>
  <sheetData>
    <row r="1" spans="1:13" x14ac:dyDescent="0.2">
      <c r="A1" s="103" t="s">
        <v>100</v>
      </c>
      <c r="B1" s="104" t="s">
        <v>101</v>
      </c>
      <c r="C1" s="104" t="s">
        <v>102</v>
      </c>
      <c r="D1" s="104" t="s">
        <v>103</v>
      </c>
      <c r="E1" s="104" t="s">
        <v>104</v>
      </c>
      <c r="F1" s="104" t="s">
        <v>105</v>
      </c>
      <c r="G1" s="104" t="s">
        <v>106</v>
      </c>
      <c r="H1" s="104" t="s">
        <v>107</v>
      </c>
      <c r="I1" s="105" t="s">
        <v>108</v>
      </c>
    </row>
    <row r="2" spans="1:13" ht="13.5" thickBot="1" x14ac:dyDescent="0.25">
      <c r="A2" s="106"/>
      <c r="B2" s="107"/>
      <c r="C2" s="107"/>
      <c r="D2" s="107"/>
      <c r="E2" s="107" t="s">
        <v>109</v>
      </c>
      <c r="F2" s="107" t="s">
        <v>110</v>
      </c>
      <c r="G2" s="107" t="s">
        <v>111</v>
      </c>
      <c r="H2" s="107" t="s">
        <v>111</v>
      </c>
      <c r="I2" s="108"/>
      <c r="J2" s="80"/>
    </row>
    <row r="3" spans="1:13" x14ac:dyDescent="0.2">
      <c r="A3" s="17" t="s">
        <v>112</v>
      </c>
      <c r="B3" s="18">
        <v>8911</v>
      </c>
      <c r="C3" s="18" t="s">
        <v>113</v>
      </c>
      <c r="D3" s="18">
        <f t="shared" ref="D3:D34" si="0">IF(B3&gt;$L$3,B3-$L$3,$L$3-B3)</f>
        <v>7891</v>
      </c>
      <c r="E3" s="19">
        <v>1028.32</v>
      </c>
      <c r="F3" s="18" t="s">
        <v>114</v>
      </c>
      <c r="G3" s="18" t="s">
        <v>115</v>
      </c>
      <c r="H3" s="18" t="s">
        <v>116</v>
      </c>
      <c r="I3" s="20">
        <f t="shared" ref="I3:I34" si="1">IF($L$4=D3,E3,0)</f>
        <v>0</v>
      </c>
      <c r="J3" s="80">
        <f>IF(I3=0,0,1)</f>
        <v>0</v>
      </c>
      <c r="K3" s="21" t="s">
        <v>96</v>
      </c>
      <c r="L3" s="22">
        <f>Eingabe!H12</f>
        <v>1020</v>
      </c>
      <c r="M3" s="23"/>
    </row>
    <row r="4" spans="1:13" x14ac:dyDescent="0.2">
      <c r="A4" s="24" t="s">
        <v>118</v>
      </c>
      <c r="B4" s="25">
        <v>3300</v>
      </c>
      <c r="C4" s="25" t="s">
        <v>113</v>
      </c>
      <c r="D4" s="25">
        <f t="shared" si="0"/>
        <v>2280</v>
      </c>
      <c r="E4" s="26">
        <v>1069.0999999999999</v>
      </c>
      <c r="F4" s="25" t="s">
        <v>119</v>
      </c>
      <c r="G4" s="25" t="s">
        <v>120</v>
      </c>
      <c r="H4" s="25" t="s">
        <v>121</v>
      </c>
      <c r="I4" s="27">
        <f t="shared" si="1"/>
        <v>0</v>
      </c>
      <c r="J4" s="80">
        <f t="shared" ref="J4:J53" si="2">IF(I4=0,0,1)</f>
        <v>0</v>
      </c>
      <c r="K4" s="28" t="s">
        <v>117</v>
      </c>
      <c r="L4" s="29">
        <f>MIN(D3:D53)</f>
        <v>170</v>
      </c>
      <c r="M4" s="30"/>
    </row>
    <row r="5" spans="1:13" ht="13.5" thickBot="1" x14ac:dyDescent="0.25">
      <c r="A5" s="24" t="s">
        <v>123</v>
      </c>
      <c r="B5" s="25">
        <v>9543</v>
      </c>
      <c r="C5" s="25" t="s">
        <v>113</v>
      </c>
      <c r="D5" s="25">
        <f t="shared" si="0"/>
        <v>8523</v>
      </c>
      <c r="E5" s="26">
        <v>1144.54</v>
      </c>
      <c r="F5" s="25" t="s">
        <v>124</v>
      </c>
      <c r="G5" s="25" t="s">
        <v>125</v>
      </c>
      <c r="H5" s="25" t="s">
        <v>126</v>
      </c>
      <c r="I5" s="27">
        <f t="shared" si="1"/>
        <v>0</v>
      </c>
      <c r="J5" s="80">
        <f t="shared" si="2"/>
        <v>0</v>
      </c>
      <c r="K5" s="31" t="s">
        <v>122</v>
      </c>
      <c r="L5" s="32">
        <f>ROUNDDOWN(K54,-0.5)</f>
        <v>1084</v>
      </c>
      <c r="M5" s="33" t="s">
        <v>97</v>
      </c>
    </row>
    <row r="6" spans="1:13" x14ac:dyDescent="0.2">
      <c r="A6" s="24" t="s">
        <v>127</v>
      </c>
      <c r="B6" s="25">
        <v>8344</v>
      </c>
      <c r="C6" s="25" t="s">
        <v>113</v>
      </c>
      <c r="D6" s="25">
        <f t="shared" si="0"/>
        <v>7324</v>
      </c>
      <c r="E6" s="26">
        <v>1153.19</v>
      </c>
      <c r="F6" s="25" t="s">
        <v>128</v>
      </c>
      <c r="G6" s="25" t="s">
        <v>129</v>
      </c>
      <c r="H6" s="25" t="s">
        <v>130</v>
      </c>
      <c r="I6" s="27">
        <f t="shared" si="1"/>
        <v>0</v>
      </c>
      <c r="J6" s="80">
        <f t="shared" si="2"/>
        <v>0</v>
      </c>
    </row>
    <row r="7" spans="1:13" x14ac:dyDescent="0.2">
      <c r="A7" s="24" t="s">
        <v>131</v>
      </c>
      <c r="B7" s="25">
        <v>4820</v>
      </c>
      <c r="C7" s="25" t="s">
        <v>113</v>
      </c>
      <c r="D7" s="25">
        <f t="shared" si="0"/>
        <v>3800</v>
      </c>
      <c r="E7" s="26">
        <v>1093.31</v>
      </c>
      <c r="F7" s="25" t="s">
        <v>132</v>
      </c>
      <c r="G7" s="25" t="s">
        <v>133</v>
      </c>
      <c r="H7" s="25" t="s">
        <v>134</v>
      </c>
      <c r="I7" s="27">
        <f t="shared" si="1"/>
        <v>0</v>
      </c>
      <c r="J7" s="80">
        <f t="shared" si="2"/>
        <v>0</v>
      </c>
    </row>
    <row r="8" spans="1:13" x14ac:dyDescent="0.2">
      <c r="A8" s="24" t="s">
        <v>135</v>
      </c>
      <c r="B8" s="25">
        <v>6700</v>
      </c>
      <c r="C8" s="25" t="s">
        <v>113</v>
      </c>
      <c r="D8" s="25">
        <f t="shared" si="0"/>
        <v>5680</v>
      </c>
      <c r="E8" s="26">
        <v>1079.79</v>
      </c>
      <c r="F8" s="25" t="s">
        <v>136</v>
      </c>
      <c r="G8" s="25" t="s">
        <v>137</v>
      </c>
      <c r="H8" s="25" t="s">
        <v>138</v>
      </c>
      <c r="I8" s="27">
        <f t="shared" si="1"/>
        <v>0</v>
      </c>
      <c r="J8" s="80">
        <f t="shared" si="2"/>
        <v>0</v>
      </c>
    </row>
    <row r="9" spans="1:13" x14ac:dyDescent="0.2">
      <c r="A9" s="24" t="s">
        <v>139</v>
      </c>
      <c r="B9" s="25">
        <v>8600</v>
      </c>
      <c r="C9" s="25" t="s">
        <v>113</v>
      </c>
      <c r="D9" s="25">
        <f t="shared" si="0"/>
        <v>7580</v>
      </c>
      <c r="E9" s="26">
        <v>1070.77</v>
      </c>
      <c r="F9" s="25" t="s">
        <v>140</v>
      </c>
      <c r="G9" s="25" t="s">
        <v>141</v>
      </c>
      <c r="H9" s="25" t="s">
        <v>142</v>
      </c>
      <c r="I9" s="27">
        <f t="shared" si="1"/>
        <v>0</v>
      </c>
      <c r="J9" s="80">
        <f t="shared" si="2"/>
        <v>0</v>
      </c>
    </row>
    <row r="10" spans="1:13" x14ac:dyDescent="0.2">
      <c r="A10" s="24" t="s">
        <v>143</v>
      </c>
      <c r="B10" s="25">
        <v>8790</v>
      </c>
      <c r="C10" s="25" t="s">
        <v>113</v>
      </c>
      <c r="D10" s="25">
        <f t="shared" si="0"/>
        <v>7770</v>
      </c>
      <c r="E10" s="26">
        <v>1071.43</v>
      </c>
      <c r="F10" s="25" t="s">
        <v>145</v>
      </c>
      <c r="G10" s="25" t="s">
        <v>146</v>
      </c>
      <c r="H10" s="25" t="s">
        <v>147</v>
      </c>
      <c r="I10" s="27">
        <f t="shared" si="1"/>
        <v>0</v>
      </c>
      <c r="J10" s="80">
        <f t="shared" si="2"/>
        <v>0</v>
      </c>
    </row>
    <row r="11" spans="1:13" x14ac:dyDescent="0.2">
      <c r="A11" s="24" t="s">
        <v>148</v>
      </c>
      <c r="B11" s="25">
        <v>7000</v>
      </c>
      <c r="C11" s="25" t="s">
        <v>113</v>
      </c>
      <c r="D11" s="25">
        <f t="shared" si="0"/>
        <v>5980</v>
      </c>
      <c r="E11" s="26">
        <v>1132.17</v>
      </c>
      <c r="F11" s="25" t="s">
        <v>149</v>
      </c>
      <c r="G11" s="25" t="s">
        <v>150</v>
      </c>
      <c r="H11" s="25" t="s">
        <v>151</v>
      </c>
      <c r="I11" s="27">
        <f t="shared" si="1"/>
        <v>0</v>
      </c>
      <c r="J11" s="80">
        <f t="shared" si="2"/>
        <v>0</v>
      </c>
    </row>
    <row r="12" spans="1:13" x14ac:dyDescent="0.2">
      <c r="A12" s="24" t="s">
        <v>152</v>
      </c>
      <c r="B12" s="25">
        <v>6800</v>
      </c>
      <c r="C12" s="25" t="s">
        <v>113</v>
      </c>
      <c r="D12" s="25">
        <f t="shared" si="0"/>
        <v>5780</v>
      </c>
      <c r="E12" s="26">
        <v>1100.3800000000001</v>
      </c>
      <c r="F12" s="25" t="s">
        <v>153</v>
      </c>
      <c r="G12" s="25" t="s">
        <v>154</v>
      </c>
      <c r="H12" s="25" t="s">
        <v>155</v>
      </c>
      <c r="I12" s="27">
        <f t="shared" si="1"/>
        <v>0</v>
      </c>
      <c r="J12" s="80">
        <f t="shared" si="2"/>
        <v>0</v>
      </c>
    </row>
    <row r="13" spans="1:13" x14ac:dyDescent="0.2">
      <c r="A13" s="24" t="s">
        <v>156</v>
      </c>
      <c r="B13" s="25">
        <v>9170</v>
      </c>
      <c r="C13" s="25" t="s">
        <v>113</v>
      </c>
      <c r="D13" s="25">
        <f t="shared" si="0"/>
        <v>8150</v>
      </c>
      <c r="E13" s="26">
        <v>1156.25</v>
      </c>
      <c r="F13" s="25" t="s">
        <v>157</v>
      </c>
      <c r="G13" s="25" t="s">
        <v>158</v>
      </c>
      <c r="H13" s="25" t="s">
        <v>159</v>
      </c>
      <c r="I13" s="27">
        <f t="shared" si="1"/>
        <v>0</v>
      </c>
      <c r="J13" s="80">
        <f t="shared" si="2"/>
        <v>0</v>
      </c>
    </row>
    <row r="14" spans="1:13" x14ac:dyDescent="0.2">
      <c r="A14" s="24" t="s">
        <v>162</v>
      </c>
      <c r="B14" s="25">
        <v>9712</v>
      </c>
      <c r="C14" s="25" t="s">
        <v>113</v>
      </c>
      <c r="D14" s="25">
        <f t="shared" si="0"/>
        <v>8692</v>
      </c>
      <c r="E14" s="26">
        <v>1207.3599999999999</v>
      </c>
      <c r="F14" s="25" t="s">
        <v>163</v>
      </c>
      <c r="G14" s="25" t="s">
        <v>164</v>
      </c>
      <c r="H14" s="25" t="s">
        <v>165</v>
      </c>
      <c r="I14" s="27">
        <f t="shared" si="1"/>
        <v>0</v>
      </c>
      <c r="J14" s="80">
        <f t="shared" si="2"/>
        <v>0</v>
      </c>
    </row>
    <row r="15" spans="1:13" x14ac:dyDescent="0.2">
      <c r="A15" s="24" t="s">
        <v>166</v>
      </c>
      <c r="B15" s="25">
        <v>6787</v>
      </c>
      <c r="C15" s="25" t="s">
        <v>113</v>
      </c>
      <c r="D15" s="25">
        <f t="shared" si="0"/>
        <v>5767</v>
      </c>
      <c r="E15" s="26">
        <v>1174.51</v>
      </c>
      <c r="F15" s="25" t="s">
        <v>167</v>
      </c>
      <c r="G15" s="25" t="s">
        <v>168</v>
      </c>
      <c r="H15" s="25" t="s">
        <v>169</v>
      </c>
      <c r="I15" s="27">
        <f t="shared" si="1"/>
        <v>0</v>
      </c>
      <c r="J15" s="80">
        <f t="shared" si="2"/>
        <v>0</v>
      </c>
    </row>
    <row r="16" spans="1:13" x14ac:dyDescent="0.2">
      <c r="A16" s="24" t="s">
        <v>170</v>
      </c>
      <c r="B16" s="25">
        <v>4810</v>
      </c>
      <c r="C16" s="25" t="s">
        <v>113</v>
      </c>
      <c r="D16" s="25">
        <f t="shared" si="0"/>
        <v>3790</v>
      </c>
      <c r="E16" s="26">
        <v>1088.42</v>
      </c>
      <c r="F16" s="25" t="s">
        <v>171</v>
      </c>
      <c r="G16" s="25" t="s">
        <v>172</v>
      </c>
      <c r="H16" s="25" t="s">
        <v>173</v>
      </c>
      <c r="I16" s="27">
        <f t="shared" si="1"/>
        <v>0</v>
      </c>
      <c r="J16" s="80">
        <f t="shared" si="2"/>
        <v>0</v>
      </c>
    </row>
    <row r="17" spans="1:10" x14ac:dyDescent="0.2">
      <c r="A17" s="24" t="s">
        <v>174</v>
      </c>
      <c r="B17" s="25">
        <v>8010</v>
      </c>
      <c r="C17" s="25" t="s">
        <v>113</v>
      </c>
      <c r="D17" s="25">
        <f t="shared" si="0"/>
        <v>6990</v>
      </c>
      <c r="E17" s="26">
        <v>1126.02</v>
      </c>
      <c r="F17" s="25" t="s">
        <v>175</v>
      </c>
      <c r="G17" s="25" t="s">
        <v>176</v>
      </c>
      <c r="H17" s="25" t="s">
        <v>177</v>
      </c>
      <c r="I17" s="27">
        <f t="shared" si="1"/>
        <v>0</v>
      </c>
      <c r="J17" s="80">
        <f t="shared" si="2"/>
        <v>0</v>
      </c>
    </row>
    <row r="18" spans="1:10" x14ac:dyDescent="0.2">
      <c r="A18" s="24" t="s">
        <v>178</v>
      </c>
      <c r="B18" s="25">
        <v>2352</v>
      </c>
      <c r="C18" s="25" t="s">
        <v>113</v>
      </c>
      <c r="D18" s="25">
        <f t="shared" si="0"/>
        <v>1332</v>
      </c>
      <c r="E18" s="26">
        <v>1125.22</v>
      </c>
      <c r="F18" s="25" t="s">
        <v>179</v>
      </c>
      <c r="G18" s="25" t="s">
        <v>180</v>
      </c>
      <c r="H18" s="25" t="s">
        <v>181</v>
      </c>
      <c r="I18" s="27">
        <f t="shared" si="1"/>
        <v>0</v>
      </c>
      <c r="J18" s="80">
        <f t="shared" si="2"/>
        <v>0</v>
      </c>
    </row>
    <row r="19" spans="1:10" x14ac:dyDescent="0.2">
      <c r="A19" s="24" t="s">
        <v>182</v>
      </c>
      <c r="B19" s="25">
        <v>4830</v>
      </c>
      <c r="C19" s="25" t="s">
        <v>113</v>
      </c>
      <c r="D19" s="25">
        <f t="shared" si="0"/>
        <v>3810</v>
      </c>
      <c r="E19" s="26">
        <v>1054.8</v>
      </c>
      <c r="F19" s="25" t="s">
        <v>183</v>
      </c>
      <c r="G19" s="25" t="s">
        <v>184</v>
      </c>
      <c r="H19" s="25" t="s">
        <v>185</v>
      </c>
      <c r="I19" s="27">
        <f t="shared" si="1"/>
        <v>0</v>
      </c>
      <c r="J19" s="80">
        <f t="shared" si="2"/>
        <v>0</v>
      </c>
    </row>
    <row r="20" spans="1:10" x14ac:dyDescent="0.2">
      <c r="A20" s="24" t="s">
        <v>186</v>
      </c>
      <c r="B20" s="25">
        <v>6460</v>
      </c>
      <c r="C20" s="25" t="s">
        <v>113</v>
      </c>
      <c r="D20" s="25">
        <f t="shared" si="0"/>
        <v>5440</v>
      </c>
      <c r="E20" s="26">
        <v>1069.1099999999999</v>
      </c>
      <c r="F20" s="25" t="s">
        <v>187</v>
      </c>
      <c r="G20" s="25" t="s">
        <v>188</v>
      </c>
      <c r="H20" s="25" t="s">
        <v>155</v>
      </c>
      <c r="I20" s="27">
        <f t="shared" si="1"/>
        <v>0</v>
      </c>
      <c r="J20" s="80">
        <f t="shared" si="2"/>
        <v>0</v>
      </c>
    </row>
    <row r="21" spans="1:10" x14ac:dyDescent="0.2">
      <c r="A21" s="24" t="s">
        <v>189</v>
      </c>
      <c r="B21" s="25">
        <v>6020</v>
      </c>
      <c r="C21" s="25" t="s">
        <v>113</v>
      </c>
      <c r="D21" s="25">
        <f t="shared" si="0"/>
        <v>5000</v>
      </c>
      <c r="E21" s="26">
        <v>1089.72</v>
      </c>
      <c r="F21" s="25" t="s">
        <v>190</v>
      </c>
      <c r="G21" s="25" t="s">
        <v>191</v>
      </c>
      <c r="H21" s="25" t="s">
        <v>192</v>
      </c>
      <c r="I21" s="27">
        <f t="shared" si="1"/>
        <v>0</v>
      </c>
      <c r="J21" s="80">
        <f t="shared" si="2"/>
        <v>0</v>
      </c>
    </row>
    <row r="22" spans="1:10" x14ac:dyDescent="0.2">
      <c r="A22" s="24" t="s">
        <v>193</v>
      </c>
      <c r="B22" s="25">
        <v>6370</v>
      </c>
      <c r="C22" s="25" t="s">
        <v>113</v>
      </c>
      <c r="D22" s="25">
        <f t="shared" si="0"/>
        <v>5350</v>
      </c>
      <c r="E22" s="26">
        <v>1069.8800000000001</v>
      </c>
      <c r="F22" s="25" t="s">
        <v>194</v>
      </c>
      <c r="G22" s="25" t="s">
        <v>195</v>
      </c>
      <c r="H22" s="25" t="s">
        <v>196</v>
      </c>
      <c r="I22" s="27">
        <f t="shared" si="1"/>
        <v>0</v>
      </c>
      <c r="J22" s="80">
        <f t="shared" si="2"/>
        <v>0</v>
      </c>
    </row>
    <row r="23" spans="1:10" x14ac:dyDescent="0.2">
      <c r="A23" s="24" t="s">
        <v>197</v>
      </c>
      <c r="B23" s="25">
        <v>9010</v>
      </c>
      <c r="C23" s="25" t="s">
        <v>113</v>
      </c>
      <c r="D23" s="25">
        <f t="shared" si="0"/>
        <v>7990</v>
      </c>
      <c r="E23" s="26">
        <v>1131</v>
      </c>
      <c r="F23" s="25" t="s">
        <v>198</v>
      </c>
      <c r="G23" s="25" t="s">
        <v>199</v>
      </c>
      <c r="H23" s="25" t="s">
        <v>200</v>
      </c>
      <c r="I23" s="27">
        <f t="shared" si="1"/>
        <v>0</v>
      </c>
      <c r="J23" s="80">
        <f t="shared" si="2"/>
        <v>0</v>
      </c>
    </row>
    <row r="24" spans="1:10" x14ac:dyDescent="0.2">
      <c r="A24" s="24" t="s">
        <v>201</v>
      </c>
      <c r="B24" s="25">
        <v>3500</v>
      </c>
      <c r="C24" s="25" t="s">
        <v>113</v>
      </c>
      <c r="D24" s="25">
        <f t="shared" si="0"/>
        <v>2480</v>
      </c>
      <c r="E24" s="26">
        <v>1071.4000000000001</v>
      </c>
      <c r="F24" s="25" t="s">
        <v>202</v>
      </c>
      <c r="G24" s="25" t="s">
        <v>203</v>
      </c>
      <c r="H24" s="25" t="s">
        <v>138</v>
      </c>
      <c r="I24" s="27">
        <f t="shared" si="1"/>
        <v>0</v>
      </c>
      <c r="J24" s="80">
        <f t="shared" si="2"/>
        <v>0</v>
      </c>
    </row>
    <row r="25" spans="1:10" x14ac:dyDescent="0.2">
      <c r="A25" s="24" t="s">
        <v>204</v>
      </c>
      <c r="B25" s="25">
        <v>4550</v>
      </c>
      <c r="C25" s="25" t="s">
        <v>113</v>
      </c>
      <c r="D25" s="25">
        <f t="shared" si="0"/>
        <v>3530</v>
      </c>
      <c r="E25" s="26">
        <v>1046.5</v>
      </c>
      <c r="F25" s="25" t="s">
        <v>205</v>
      </c>
      <c r="G25" s="25" t="s">
        <v>206</v>
      </c>
      <c r="H25" s="25" t="s">
        <v>207</v>
      </c>
      <c r="I25" s="27">
        <f t="shared" si="1"/>
        <v>0</v>
      </c>
      <c r="J25" s="80">
        <f t="shared" si="2"/>
        <v>0</v>
      </c>
    </row>
    <row r="26" spans="1:10" x14ac:dyDescent="0.2">
      <c r="A26" s="24" t="s">
        <v>208</v>
      </c>
      <c r="B26" s="25">
        <v>8700</v>
      </c>
      <c r="C26" s="25" t="s">
        <v>113</v>
      </c>
      <c r="D26" s="25">
        <f t="shared" si="0"/>
        <v>7680</v>
      </c>
      <c r="E26" s="26">
        <v>1068.49</v>
      </c>
      <c r="F26" s="25" t="s">
        <v>153</v>
      </c>
      <c r="G26" s="25" t="s">
        <v>209</v>
      </c>
      <c r="H26" s="25" t="s">
        <v>210</v>
      </c>
      <c r="I26" s="27">
        <f t="shared" si="1"/>
        <v>0</v>
      </c>
      <c r="J26" s="80">
        <f t="shared" si="2"/>
        <v>0</v>
      </c>
    </row>
    <row r="27" spans="1:10" x14ac:dyDescent="0.2">
      <c r="A27" s="24" t="s">
        <v>211</v>
      </c>
      <c r="B27" s="25">
        <v>9900</v>
      </c>
      <c r="C27" s="25" t="s">
        <v>113</v>
      </c>
      <c r="D27" s="25">
        <f t="shared" si="0"/>
        <v>8880</v>
      </c>
      <c r="E27" s="26">
        <v>1147.74</v>
      </c>
      <c r="F27" s="25" t="s">
        <v>212</v>
      </c>
      <c r="G27" s="25" t="s">
        <v>213</v>
      </c>
      <c r="H27" s="25" t="s">
        <v>214</v>
      </c>
      <c r="I27" s="27">
        <f t="shared" si="1"/>
        <v>0</v>
      </c>
      <c r="J27" s="80">
        <f t="shared" si="2"/>
        <v>0</v>
      </c>
    </row>
    <row r="28" spans="1:10" x14ac:dyDescent="0.2">
      <c r="A28" s="24" t="s">
        <v>215</v>
      </c>
      <c r="B28" s="25">
        <v>3180</v>
      </c>
      <c r="C28" s="25" t="s">
        <v>113</v>
      </c>
      <c r="D28" s="25">
        <f t="shared" si="0"/>
        <v>2160</v>
      </c>
      <c r="E28" s="26">
        <v>1075.26</v>
      </c>
      <c r="F28" s="25" t="s">
        <v>216</v>
      </c>
      <c r="G28" s="25" t="s">
        <v>217</v>
      </c>
      <c r="H28" s="25" t="s">
        <v>218</v>
      </c>
      <c r="I28" s="27">
        <f t="shared" si="1"/>
        <v>0</v>
      </c>
      <c r="J28" s="80">
        <f t="shared" si="2"/>
        <v>0</v>
      </c>
    </row>
    <row r="29" spans="1:10" x14ac:dyDescent="0.2">
      <c r="A29" s="24" t="s">
        <v>219</v>
      </c>
      <c r="B29" s="25">
        <v>9872</v>
      </c>
      <c r="C29" s="25" t="s">
        <v>113</v>
      </c>
      <c r="D29" s="25">
        <f t="shared" si="0"/>
        <v>8852</v>
      </c>
      <c r="E29" s="26">
        <v>1189.53</v>
      </c>
      <c r="F29" s="25" t="s">
        <v>220</v>
      </c>
      <c r="G29" s="25" t="s">
        <v>221</v>
      </c>
      <c r="H29" s="25" t="s">
        <v>222</v>
      </c>
      <c r="I29" s="27">
        <f t="shared" si="1"/>
        <v>0</v>
      </c>
      <c r="J29" s="80">
        <f t="shared" si="2"/>
        <v>0</v>
      </c>
    </row>
    <row r="30" spans="1:10" x14ac:dyDescent="0.2">
      <c r="A30" s="24" t="s">
        <v>223</v>
      </c>
      <c r="B30" s="25">
        <v>5310</v>
      </c>
      <c r="C30" s="25" t="s">
        <v>113</v>
      </c>
      <c r="D30" s="25">
        <f t="shared" si="0"/>
        <v>4290</v>
      </c>
      <c r="E30" s="26">
        <v>1046.56</v>
      </c>
      <c r="F30" s="25" t="s">
        <v>224</v>
      </c>
      <c r="G30" s="25" t="s">
        <v>225</v>
      </c>
      <c r="H30" s="25" t="s">
        <v>226</v>
      </c>
      <c r="I30" s="27">
        <f t="shared" si="1"/>
        <v>0</v>
      </c>
      <c r="J30" s="80">
        <f t="shared" si="2"/>
        <v>0</v>
      </c>
    </row>
    <row r="31" spans="1:10" x14ac:dyDescent="0.2">
      <c r="A31" s="24" t="s">
        <v>227</v>
      </c>
      <c r="B31" s="25">
        <v>2872</v>
      </c>
      <c r="C31" s="25" t="s">
        <v>113</v>
      </c>
      <c r="D31" s="25">
        <f t="shared" si="0"/>
        <v>1852</v>
      </c>
      <c r="E31" s="26">
        <v>1083.3</v>
      </c>
      <c r="F31" s="25" t="s">
        <v>228</v>
      </c>
      <c r="G31" s="25" t="s">
        <v>229</v>
      </c>
      <c r="H31" s="25" t="s">
        <v>230</v>
      </c>
      <c r="I31" s="27">
        <f t="shared" si="1"/>
        <v>0</v>
      </c>
      <c r="J31" s="80">
        <f t="shared" si="2"/>
        <v>0</v>
      </c>
    </row>
    <row r="32" spans="1:10" x14ac:dyDescent="0.2">
      <c r="A32" s="24" t="s">
        <v>231</v>
      </c>
      <c r="B32" s="25">
        <v>6543</v>
      </c>
      <c r="C32" s="25" t="s">
        <v>113</v>
      </c>
      <c r="D32" s="25">
        <f t="shared" si="0"/>
        <v>5523</v>
      </c>
      <c r="E32" s="26">
        <v>1201.4100000000001</v>
      </c>
      <c r="F32" s="25" t="s">
        <v>232</v>
      </c>
      <c r="G32" s="25" t="s">
        <v>233</v>
      </c>
      <c r="H32" s="25" t="s">
        <v>234</v>
      </c>
      <c r="I32" s="27">
        <f t="shared" si="1"/>
        <v>0</v>
      </c>
      <c r="J32" s="80">
        <f t="shared" si="2"/>
        <v>0</v>
      </c>
    </row>
    <row r="33" spans="1:10" x14ac:dyDescent="0.2">
      <c r="A33" s="24" t="s">
        <v>235</v>
      </c>
      <c r="B33" s="25">
        <v>8820</v>
      </c>
      <c r="C33" s="25" t="s">
        <v>113</v>
      </c>
      <c r="D33" s="25">
        <f t="shared" si="0"/>
        <v>7800</v>
      </c>
      <c r="E33" s="26">
        <v>1161.95</v>
      </c>
      <c r="F33" s="25" t="s">
        <v>236</v>
      </c>
      <c r="G33" s="25" t="s">
        <v>237</v>
      </c>
      <c r="H33" s="25" t="s">
        <v>177</v>
      </c>
      <c r="I33" s="27">
        <f t="shared" si="1"/>
        <v>0</v>
      </c>
      <c r="J33" s="80">
        <f t="shared" si="2"/>
        <v>0</v>
      </c>
    </row>
    <row r="34" spans="1:10" x14ac:dyDescent="0.2">
      <c r="A34" s="24" t="s">
        <v>95</v>
      </c>
      <c r="B34" s="25">
        <v>9821</v>
      </c>
      <c r="C34" s="25" t="s">
        <v>113</v>
      </c>
      <c r="D34" s="25">
        <f t="shared" si="0"/>
        <v>8801</v>
      </c>
      <c r="E34" s="26">
        <v>1226.7</v>
      </c>
      <c r="F34" s="25" t="s">
        <v>238</v>
      </c>
      <c r="G34" s="25" t="s">
        <v>239</v>
      </c>
      <c r="H34" s="25" t="s">
        <v>240</v>
      </c>
      <c r="I34" s="27">
        <f t="shared" si="1"/>
        <v>0</v>
      </c>
      <c r="J34" s="80">
        <f t="shared" si="2"/>
        <v>0</v>
      </c>
    </row>
    <row r="35" spans="1:10" x14ac:dyDescent="0.2">
      <c r="A35" s="24" t="s">
        <v>241</v>
      </c>
      <c r="B35" s="25">
        <v>8832</v>
      </c>
      <c r="C35" s="25" t="s">
        <v>113</v>
      </c>
      <c r="D35" s="25">
        <f t="shared" ref="D35:D53" si="3">IF(B35&gt;$L$3,B35-$L$3,$L$3-B35)</f>
        <v>7812</v>
      </c>
      <c r="E35" s="26">
        <v>1107.8499999999999</v>
      </c>
      <c r="F35" s="25" t="s">
        <v>242</v>
      </c>
      <c r="G35" s="25" t="s">
        <v>243</v>
      </c>
      <c r="H35" s="25" t="s">
        <v>244</v>
      </c>
      <c r="I35" s="27">
        <f t="shared" ref="I35:I53" si="4">IF($L$4=D35,E35,0)</f>
        <v>0</v>
      </c>
      <c r="J35" s="80">
        <f t="shared" si="2"/>
        <v>0</v>
      </c>
    </row>
    <row r="36" spans="1:10" x14ac:dyDescent="0.2">
      <c r="A36" s="24" t="s">
        <v>245</v>
      </c>
      <c r="B36" s="25">
        <v>9545</v>
      </c>
      <c r="C36" s="25" t="s">
        <v>113</v>
      </c>
      <c r="D36" s="25">
        <f t="shared" si="3"/>
        <v>8525</v>
      </c>
      <c r="E36" s="26">
        <v>1133.1199999999999</v>
      </c>
      <c r="F36" s="25" t="s">
        <v>246</v>
      </c>
      <c r="G36" s="25" t="s">
        <v>247</v>
      </c>
      <c r="H36" s="25" t="s">
        <v>222</v>
      </c>
      <c r="I36" s="27">
        <f t="shared" si="4"/>
        <v>0</v>
      </c>
      <c r="J36" s="80">
        <f t="shared" si="2"/>
        <v>0</v>
      </c>
    </row>
    <row r="37" spans="1:10" x14ac:dyDescent="0.2">
      <c r="A37" s="24" t="s">
        <v>248</v>
      </c>
      <c r="B37" s="25">
        <v>8972</v>
      </c>
      <c r="C37" s="25" t="s">
        <v>113</v>
      </c>
      <c r="D37" s="25">
        <f t="shared" si="3"/>
        <v>7952</v>
      </c>
      <c r="E37" s="26">
        <v>1129.03</v>
      </c>
      <c r="F37" s="25" t="s">
        <v>249</v>
      </c>
      <c r="G37" s="25" t="s">
        <v>250</v>
      </c>
      <c r="H37" s="25" t="s">
        <v>251</v>
      </c>
      <c r="I37" s="27">
        <f t="shared" si="4"/>
        <v>0</v>
      </c>
      <c r="J37" s="80">
        <f t="shared" si="2"/>
        <v>0</v>
      </c>
    </row>
    <row r="38" spans="1:10" x14ac:dyDescent="0.2">
      <c r="A38" s="24" t="s">
        <v>252</v>
      </c>
      <c r="B38" s="25">
        <v>5661</v>
      </c>
      <c r="C38" s="25" t="s">
        <v>113</v>
      </c>
      <c r="D38" s="25">
        <f t="shared" si="3"/>
        <v>4641</v>
      </c>
      <c r="E38" s="26">
        <v>1124.1500000000001</v>
      </c>
      <c r="F38" s="25" t="s">
        <v>253</v>
      </c>
      <c r="G38" s="25" t="s">
        <v>254</v>
      </c>
      <c r="H38" s="25" t="s">
        <v>155</v>
      </c>
      <c r="I38" s="27">
        <f t="shared" si="4"/>
        <v>0</v>
      </c>
      <c r="J38" s="80">
        <f t="shared" si="2"/>
        <v>0</v>
      </c>
    </row>
    <row r="39" spans="1:10" x14ac:dyDescent="0.2">
      <c r="A39" s="24" t="s">
        <v>255</v>
      </c>
      <c r="B39" s="25">
        <v>4981</v>
      </c>
      <c r="C39" s="25" t="s">
        <v>113</v>
      </c>
      <c r="D39" s="25">
        <f t="shared" si="3"/>
        <v>3961</v>
      </c>
      <c r="E39" s="26">
        <v>1037.3699999999999</v>
      </c>
      <c r="F39" s="25" t="s">
        <v>256</v>
      </c>
      <c r="G39" s="25" t="s">
        <v>257</v>
      </c>
      <c r="H39" s="25" t="s">
        <v>181</v>
      </c>
      <c r="I39" s="27">
        <f t="shared" si="4"/>
        <v>0</v>
      </c>
      <c r="J39" s="80">
        <f t="shared" si="2"/>
        <v>0</v>
      </c>
    </row>
    <row r="40" spans="1:10" x14ac:dyDescent="0.2">
      <c r="A40" s="24" t="s">
        <v>258</v>
      </c>
      <c r="B40" s="25">
        <v>4462</v>
      </c>
      <c r="C40" s="25" t="s">
        <v>113</v>
      </c>
      <c r="D40" s="25">
        <f t="shared" si="3"/>
        <v>3442</v>
      </c>
      <c r="E40" s="26">
        <v>1068.82</v>
      </c>
      <c r="F40" s="25" t="s">
        <v>259</v>
      </c>
      <c r="G40" s="25" t="s">
        <v>115</v>
      </c>
      <c r="H40" s="25" t="s">
        <v>260</v>
      </c>
      <c r="I40" s="27">
        <f t="shared" si="4"/>
        <v>0</v>
      </c>
      <c r="J40" s="80">
        <f t="shared" si="2"/>
        <v>0</v>
      </c>
    </row>
    <row r="41" spans="1:10" x14ac:dyDescent="0.2">
      <c r="A41" s="24" t="s">
        <v>261</v>
      </c>
      <c r="B41" s="25">
        <v>5020</v>
      </c>
      <c r="C41" s="25" t="s">
        <v>113</v>
      </c>
      <c r="D41" s="25">
        <f t="shared" si="3"/>
        <v>4000</v>
      </c>
      <c r="E41" s="26">
        <v>1113.6099999999999</v>
      </c>
      <c r="F41" s="25" t="s">
        <v>262</v>
      </c>
      <c r="G41" s="25" t="s">
        <v>225</v>
      </c>
      <c r="H41" s="25" t="s">
        <v>263</v>
      </c>
      <c r="I41" s="27">
        <f t="shared" si="4"/>
        <v>0</v>
      </c>
      <c r="J41" s="80">
        <f t="shared" si="2"/>
        <v>0</v>
      </c>
    </row>
    <row r="42" spans="1:10" x14ac:dyDescent="0.2">
      <c r="A42" s="24" t="s">
        <v>264</v>
      </c>
      <c r="B42" s="25">
        <v>9654</v>
      </c>
      <c r="C42" s="25" t="s">
        <v>113</v>
      </c>
      <c r="D42" s="25">
        <f t="shared" si="3"/>
        <v>8634</v>
      </c>
      <c r="E42" s="26">
        <v>1217.1300000000001</v>
      </c>
      <c r="F42" s="25" t="s">
        <v>265</v>
      </c>
      <c r="G42" s="25" t="s">
        <v>266</v>
      </c>
      <c r="H42" s="25" t="s">
        <v>165</v>
      </c>
      <c r="I42" s="27">
        <f t="shared" si="4"/>
        <v>0</v>
      </c>
      <c r="J42" s="80">
        <f t="shared" si="2"/>
        <v>0</v>
      </c>
    </row>
    <row r="43" spans="1:10" x14ac:dyDescent="0.2">
      <c r="A43" s="24" t="s">
        <v>267</v>
      </c>
      <c r="B43" s="25">
        <v>5582</v>
      </c>
      <c r="C43" s="25" t="s">
        <v>113</v>
      </c>
      <c r="D43" s="25">
        <f t="shared" si="3"/>
        <v>4562</v>
      </c>
      <c r="E43" s="26">
        <v>1194.76</v>
      </c>
      <c r="F43" s="25" t="s">
        <v>268</v>
      </c>
      <c r="G43" s="25" t="s">
        <v>269</v>
      </c>
      <c r="H43" s="25" t="s">
        <v>270</v>
      </c>
      <c r="I43" s="27">
        <f t="shared" si="4"/>
        <v>0</v>
      </c>
      <c r="J43" s="80">
        <f t="shared" si="2"/>
        <v>0</v>
      </c>
    </row>
    <row r="44" spans="1:10" x14ac:dyDescent="0.2">
      <c r="A44" s="24" t="s">
        <v>271</v>
      </c>
      <c r="B44" s="25">
        <v>3100</v>
      </c>
      <c r="C44" s="25" t="s">
        <v>113</v>
      </c>
      <c r="D44" s="25">
        <f t="shared" si="3"/>
        <v>2080</v>
      </c>
      <c r="E44" s="26">
        <v>1031.18</v>
      </c>
      <c r="F44" s="25" t="s">
        <v>272</v>
      </c>
      <c r="G44" s="25" t="s">
        <v>273</v>
      </c>
      <c r="H44" s="25" t="s">
        <v>274</v>
      </c>
      <c r="I44" s="27">
        <f t="shared" si="4"/>
        <v>0</v>
      </c>
      <c r="J44" s="80">
        <f t="shared" si="2"/>
        <v>0</v>
      </c>
    </row>
    <row r="45" spans="1:10" x14ac:dyDescent="0.2">
      <c r="A45" s="24" t="s">
        <v>275</v>
      </c>
      <c r="B45" s="25">
        <v>9220</v>
      </c>
      <c r="C45" s="25" t="s">
        <v>113</v>
      </c>
      <c r="D45" s="25">
        <f t="shared" si="3"/>
        <v>8200</v>
      </c>
      <c r="E45" s="26">
        <v>1189.4000000000001</v>
      </c>
      <c r="F45" s="25" t="s">
        <v>276</v>
      </c>
      <c r="G45" s="25" t="s">
        <v>277</v>
      </c>
      <c r="H45" s="25" t="s">
        <v>200</v>
      </c>
      <c r="I45" s="27">
        <f t="shared" si="4"/>
        <v>0</v>
      </c>
      <c r="J45" s="80">
        <f t="shared" si="2"/>
        <v>0</v>
      </c>
    </row>
    <row r="46" spans="1:10" x14ac:dyDescent="0.2">
      <c r="A46" s="24" t="s">
        <v>278</v>
      </c>
      <c r="B46" s="25">
        <v>9500</v>
      </c>
      <c r="C46" s="25" t="s">
        <v>113</v>
      </c>
      <c r="D46" s="25">
        <f t="shared" si="3"/>
        <v>8480</v>
      </c>
      <c r="E46" s="26">
        <v>1188.95</v>
      </c>
      <c r="F46" s="25" t="s">
        <v>276</v>
      </c>
      <c r="G46" s="25" t="s">
        <v>279</v>
      </c>
      <c r="H46" s="25" t="s">
        <v>200</v>
      </c>
      <c r="I46" s="27">
        <f t="shared" si="4"/>
        <v>0</v>
      </c>
      <c r="J46" s="80">
        <f t="shared" si="2"/>
        <v>0</v>
      </c>
    </row>
    <row r="47" spans="1:10" x14ac:dyDescent="0.2">
      <c r="A47" s="24" t="s">
        <v>280</v>
      </c>
      <c r="B47" s="25">
        <v>4600</v>
      </c>
      <c r="C47" s="25" t="s">
        <v>113</v>
      </c>
      <c r="D47" s="25">
        <f t="shared" si="3"/>
        <v>3580</v>
      </c>
      <c r="E47" s="26">
        <v>1036.5</v>
      </c>
      <c r="F47" s="25" t="s">
        <v>220</v>
      </c>
      <c r="G47" s="25" t="s">
        <v>281</v>
      </c>
      <c r="H47" s="25" t="s">
        <v>218</v>
      </c>
      <c r="I47" s="27">
        <f t="shared" si="4"/>
        <v>0</v>
      </c>
      <c r="J47" s="80">
        <f t="shared" si="2"/>
        <v>0</v>
      </c>
    </row>
    <row r="48" spans="1:10" x14ac:dyDescent="0.2">
      <c r="A48" s="24" t="s">
        <v>282</v>
      </c>
      <c r="B48" s="25">
        <v>3335</v>
      </c>
      <c r="C48" s="25" t="s">
        <v>113</v>
      </c>
      <c r="D48" s="25">
        <f t="shared" si="3"/>
        <v>2315</v>
      </c>
      <c r="E48" s="26">
        <v>1106.53</v>
      </c>
      <c r="F48" s="25" t="s">
        <v>283</v>
      </c>
      <c r="G48" s="25" t="s">
        <v>284</v>
      </c>
      <c r="H48" s="25" t="s">
        <v>226</v>
      </c>
      <c r="I48" s="27">
        <f t="shared" si="4"/>
        <v>0</v>
      </c>
      <c r="J48" s="80">
        <f t="shared" si="2"/>
        <v>0</v>
      </c>
    </row>
    <row r="49" spans="1:11" x14ac:dyDescent="0.2">
      <c r="A49" s="24" t="s">
        <v>1243</v>
      </c>
      <c r="B49" s="25">
        <v>1190</v>
      </c>
      <c r="C49" s="25" t="s">
        <v>113</v>
      </c>
      <c r="D49" s="25">
        <f t="shared" si="3"/>
        <v>170</v>
      </c>
      <c r="E49" s="26">
        <v>1084.48</v>
      </c>
      <c r="F49" s="25" t="s">
        <v>1244</v>
      </c>
      <c r="G49" s="25" t="s">
        <v>1245</v>
      </c>
      <c r="H49" s="25" t="s">
        <v>274</v>
      </c>
      <c r="I49" s="27">
        <f t="shared" si="4"/>
        <v>1084.48</v>
      </c>
      <c r="J49" s="80">
        <f t="shared" si="2"/>
        <v>1</v>
      </c>
    </row>
    <row r="50" spans="1:11" x14ac:dyDescent="0.2">
      <c r="A50" s="24" t="s">
        <v>1246</v>
      </c>
      <c r="B50" s="25">
        <v>2700</v>
      </c>
      <c r="C50" s="25" t="s">
        <v>113</v>
      </c>
      <c r="D50" s="25">
        <f t="shared" si="3"/>
        <v>1680</v>
      </c>
      <c r="E50" s="26">
        <v>1080.56</v>
      </c>
      <c r="F50" s="25" t="s">
        <v>1247</v>
      </c>
      <c r="G50" s="25" t="s">
        <v>1248</v>
      </c>
      <c r="H50" s="25" t="s">
        <v>263</v>
      </c>
      <c r="I50" s="27">
        <f t="shared" si="4"/>
        <v>0</v>
      </c>
      <c r="J50" s="80">
        <f t="shared" si="2"/>
        <v>0</v>
      </c>
    </row>
    <row r="51" spans="1:11" x14ac:dyDescent="0.2">
      <c r="A51" s="24" t="s">
        <v>1249</v>
      </c>
      <c r="B51" s="25">
        <v>9400</v>
      </c>
      <c r="C51" s="25" t="s">
        <v>113</v>
      </c>
      <c r="D51" s="25">
        <f t="shared" si="3"/>
        <v>8380</v>
      </c>
      <c r="E51" s="26">
        <v>1066.68</v>
      </c>
      <c r="F51" s="25" t="s">
        <v>1250</v>
      </c>
      <c r="G51" s="25" t="s">
        <v>120</v>
      </c>
      <c r="H51" s="25" t="s">
        <v>1251</v>
      </c>
      <c r="I51" s="27">
        <f t="shared" si="4"/>
        <v>0</v>
      </c>
      <c r="J51" s="80">
        <f t="shared" si="2"/>
        <v>0</v>
      </c>
    </row>
    <row r="52" spans="1:11" x14ac:dyDescent="0.2">
      <c r="A52" s="24" t="s">
        <v>1252</v>
      </c>
      <c r="B52" s="25">
        <v>5700</v>
      </c>
      <c r="C52" s="25" t="s">
        <v>113</v>
      </c>
      <c r="D52" s="25">
        <f t="shared" si="3"/>
        <v>4680</v>
      </c>
      <c r="E52" s="26">
        <v>1080.32</v>
      </c>
      <c r="F52" s="25" t="s">
        <v>268</v>
      </c>
      <c r="G52" s="25" t="s">
        <v>1253</v>
      </c>
      <c r="H52" s="25" t="s">
        <v>1254</v>
      </c>
      <c r="I52" s="27">
        <f t="shared" si="4"/>
        <v>0</v>
      </c>
      <c r="J52" s="80">
        <f t="shared" si="2"/>
        <v>0</v>
      </c>
    </row>
    <row r="53" spans="1:11" ht="13.5" thickBot="1" x14ac:dyDescent="0.25">
      <c r="A53" s="34" t="s">
        <v>1255</v>
      </c>
      <c r="B53" s="35">
        <v>3910</v>
      </c>
      <c r="C53" s="35" t="s">
        <v>113</v>
      </c>
      <c r="D53" s="35">
        <f t="shared" si="3"/>
        <v>2890</v>
      </c>
      <c r="E53" s="36">
        <v>1051.52</v>
      </c>
      <c r="F53" s="35" t="s">
        <v>1256</v>
      </c>
      <c r="G53" s="35" t="s">
        <v>1257</v>
      </c>
      <c r="H53" s="35" t="s">
        <v>1258</v>
      </c>
      <c r="I53" s="37">
        <f t="shared" si="4"/>
        <v>0</v>
      </c>
      <c r="J53" s="80">
        <f t="shared" si="2"/>
        <v>0</v>
      </c>
    </row>
    <row r="54" spans="1:11" ht="13.5" thickBot="1" x14ac:dyDescent="0.25">
      <c r="H54" s="6" t="s">
        <v>1240</v>
      </c>
      <c r="I54" s="38">
        <f>SUM(I3:I53)</f>
        <v>1084.48</v>
      </c>
      <c r="J54" s="80">
        <f>SUM(J3:J53)</f>
        <v>1</v>
      </c>
      <c r="K54" s="80">
        <f>I54/J54</f>
        <v>1084.48</v>
      </c>
    </row>
  </sheetData>
  <sheetProtection selectLockedCells="1" selectUnlockedCells="1"/>
  <phoneticPr fontId="0" type="noConversion"/>
  <printOptions horizontalCentered="1"/>
  <pageMargins left="0.78740157480314965" right="0.78740157480314965" top="0.98425196850393704" bottom="0.98425196850393704" header="0.51181102362204722" footer="0.51181102362204722"/>
  <pageSetup paperSize="9" scale="60" orientation="landscape" horizontalDpi="4294967293" r:id="rId1"/>
  <headerFooter alignWithMargins="0">
    <oddFooter>&amp;R_x000D_&amp;1#&amp;"Arial"&amp;7&amp;K000000 Klassifizierung: Vertraulich/Confidential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Tabelle9">
    <tabColor indexed="22"/>
  </sheetPr>
  <dimension ref="A1:L2460"/>
  <sheetViews>
    <sheetView zoomScale="75" workbookViewId="0">
      <selection activeCell="J5" sqref="J5"/>
    </sheetView>
  </sheetViews>
  <sheetFormatPr baseColWidth="10" defaultColWidth="11.28515625" defaultRowHeight="12.75" x14ac:dyDescent="0.2"/>
  <cols>
    <col min="1" max="1" width="6.85546875" style="5" customWidth="1"/>
    <col min="2" max="2" width="30.28515625" style="60" customWidth="1"/>
    <col min="3" max="3" width="12.28515625" style="5" customWidth="1"/>
    <col min="4" max="4" width="17.28515625" style="61" customWidth="1"/>
    <col min="5" max="5" width="14.7109375" style="61" customWidth="1"/>
    <col min="6" max="6" width="13.7109375" style="61" customWidth="1"/>
    <col min="7" max="7" width="9.28515625" style="61" bestFit="1" customWidth="1"/>
    <col min="8" max="9" width="11.28515625" style="3"/>
    <col min="10" max="10" width="11.85546875" style="3" customWidth="1"/>
    <col min="11" max="13" width="11.28515625" style="3"/>
    <col min="14" max="14" width="3.7109375" style="3" bestFit="1" customWidth="1"/>
    <col min="15" max="15" width="30.85546875" style="3" bestFit="1" customWidth="1"/>
    <col min="16" max="16384" width="11.28515625" style="3"/>
  </cols>
  <sheetData>
    <row r="1" spans="1:12" ht="13.5" thickBot="1" x14ac:dyDescent="0.25">
      <c r="A1" s="75" t="s">
        <v>101</v>
      </c>
      <c r="B1" s="76" t="s">
        <v>100</v>
      </c>
      <c r="C1" s="75" t="s">
        <v>1259</v>
      </c>
      <c r="D1" s="77" t="s">
        <v>1260</v>
      </c>
      <c r="E1" s="77" t="s">
        <v>1261</v>
      </c>
      <c r="F1" s="77" t="s">
        <v>1262</v>
      </c>
      <c r="G1" s="77" t="s">
        <v>1263</v>
      </c>
    </row>
    <row r="2" spans="1:12" x14ac:dyDescent="0.2">
      <c r="A2" s="40"/>
      <c r="B2" s="39"/>
      <c r="C2" s="40"/>
      <c r="D2" s="74"/>
      <c r="E2" s="74"/>
      <c r="F2" s="74"/>
      <c r="G2" s="74"/>
      <c r="I2" s="41" t="s">
        <v>738</v>
      </c>
      <c r="J2" s="42"/>
      <c r="K2" s="42"/>
      <c r="L2" s="43"/>
    </row>
    <row r="3" spans="1:12" x14ac:dyDescent="0.2">
      <c r="A3" s="40">
        <v>1004</v>
      </c>
      <c r="B3" s="39" t="s">
        <v>1243</v>
      </c>
      <c r="C3" s="40" t="s">
        <v>1264</v>
      </c>
      <c r="D3" s="74" t="s">
        <v>1265</v>
      </c>
      <c r="E3" s="74" t="s">
        <v>1266</v>
      </c>
      <c r="F3" s="74" t="s">
        <v>1267</v>
      </c>
      <c r="G3" s="74" t="s">
        <v>1268</v>
      </c>
      <c r="I3" s="44">
        <f>Eingabe!H12</f>
        <v>1020</v>
      </c>
      <c r="J3" s="45" t="str">
        <f>VLOOKUP(I3,A3:C2460,3,TRUE)</f>
        <v>W</v>
      </c>
      <c r="K3" s="45"/>
      <c r="L3" s="46"/>
    </row>
    <row r="4" spans="1:12" x14ac:dyDescent="0.2">
      <c r="A4" s="40">
        <v>1010</v>
      </c>
      <c r="B4" s="39" t="s">
        <v>1243</v>
      </c>
      <c r="C4" s="40" t="s">
        <v>1264</v>
      </c>
      <c r="D4" s="74" t="s">
        <v>1269</v>
      </c>
      <c r="E4" s="74" t="s">
        <v>1266</v>
      </c>
      <c r="F4" s="74" t="s">
        <v>1268</v>
      </c>
      <c r="G4" s="74" t="s">
        <v>1268</v>
      </c>
      <c r="I4" s="44"/>
      <c r="J4" s="45" t="str">
        <f>VLOOKUP(J3,I7:J15,2,TRUE)</f>
        <v>Wien</v>
      </c>
      <c r="K4" s="45"/>
      <c r="L4" s="46"/>
    </row>
    <row r="5" spans="1:12" ht="13.5" thickBot="1" x14ac:dyDescent="0.25">
      <c r="A5" s="40">
        <v>1011</v>
      </c>
      <c r="B5" s="39" t="s">
        <v>1270</v>
      </c>
      <c r="C5" s="40" t="s">
        <v>1264</v>
      </c>
      <c r="D5" s="74" t="s">
        <v>1271</v>
      </c>
      <c r="E5" s="74" t="s">
        <v>1266</v>
      </c>
      <c r="F5" s="74" t="s">
        <v>1267</v>
      </c>
      <c r="G5" s="74" t="s">
        <v>1268</v>
      </c>
      <c r="I5" s="47"/>
      <c r="J5" s="48" t="str">
        <f>VLOOKUP(I3,A3:C2460,2,FALSE)</f>
        <v>Wien</v>
      </c>
      <c r="K5" s="48"/>
      <c r="L5" s="49"/>
    </row>
    <row r="6" spans="1:12" x14ac:dyDescent="0.2">
      <c r="A6" s="40">
        <v>1012</v>
      </c>
      <c r="B6" s="39" t="s">
        <v>1243</v>
      </c>
      <c r="C6" s="40" t="s">
        <v>1264</v>
      </c>
      <c r="D6" s="74" t="s">
        <v>1271</v>
      </c>
      <c r="E6" s="74" t="s">
        <v>1266</v>
      </c>
      <c r="F6" s="74" t="s">
        <v>1267</v>
      </c>
      <c r="G6" s="74" t="s">
        <v>1268</v>
      </c>
    </row>
    <row r="7" spans="1:12" x14ac:dyDescent="0.2">
      <c r="A7" s="40">
        <v>1013</v>
      </c>
      <c r="B7" s="39" t="s">
        <v>1243</v>
      </c>
      <c r="C7" s="40" t="s">
        <v>1264</v>
      </c>
      <c r="D7" s="74" t="s">
        <v>1271</v>
      </c>
      <c r="E7" s="74" t="s">
        <v>1266</v>
      </c>
      <c r="F7" s="74" t="s">
        <v>1267</v>
      </c>
      <c r="G7" s="74" t="s">
        <v>1268</v>
      </c>
      <c r="I7" s="5" t="s">
        <v>1805</v>
      </c>
      <c r="J7" s="3" t="s">
        <v>2050</v>
      </c>
    </row>
    <row r="8" spans="1:12" x14ac:dyDescent="0.2">
      <c r="A8" s="40">
        <v>1014</v>
      </c>
      <c r="B8" s="39" t="s">
        <v>1243</v>
      </c>
      <c r="C8" s="40" t="s">
        <v>1264</v>
      </c>
      <c r="D8" s="74" t="s">
        <v>1271</v>
      </c>
      <c r="E8" s="74" t="s">
        <v>1266</v>
      </c>
      <c r="F8" s="74" t="s">
        <v>1267</v>
      </c>
      <c r="G8" s="74" t="s">
        <v>1268</v>
      </c>
      <c r="I8" s="5" t="s">
        <v>1475</v>
      </c>
      <c r="J8" s="3" t="s">
        <v>782</v>
      </c>
    </row>
    <row r="9" spans="1:12" x14ac:dyDescent="0.2">
      <c r="A9" s="40">
        <v>1015</v>
      </c>
      <c r="B9" s="39" t="s">
        <v>1243</v>
      </c>
      <c r="C9" s="40" t="s">
        <v>1264</v>
      </c>
      <c r="D9" s="74" t="s">
        <v>1271</v>
      </c>
      <c r="E9" s="74" t="s">
        <v>1266</v>
      </c>
      <c r="F9" s="74" t="s">
        <v>1267</v>
      </c>
      <c r="G9" s="74" t="s">
        <v>1268</v>
      </c>
      <c r="I9" s="5" t="s">
        <v>1281</v>
      </c>
      <c r="J9" s="3" t="s">
        <v>2049</v>
      </c>
    </row>
    <row r="10" spans="1:12" x14ac:dyDescent="0.2">
      <c r="A10" s="40">
        <v>1016</v>
      </c>
      <c r="B10" s="39" t="s">
        <v>1243</v>
      </c>
      <c r="C10" s="40" t="s">
        <v>1264</v>
      </c>
      <c r="D10" s="74" t="s">
        <v>1271</v>
      </c>
      <c r="E10" s="74" t="s">
        <v>1266</v>
      </c>
      <c r="F10" s="74" t="s">
        <v>1267</v>
      </c>
      <c r="G10" s="74" t="s">
        <v>1268</v>
      </c>
      <c r="I10" s="5" t="s">
        <v>520</v>
      </c>
      <c r="J10" s="3" t="s">
        <v>783</v>
      </c>
    </row>
    <row r="11" spans="1:12" x14ac:dyDescent="0.2">
      <c r="A11" s="40">
        <v>1017</v>
      </c>
      <c r="B11" s="39" t="s">
        <v>1272</v>
      </c>
      <c r="C11" s="40" t="s">
        <v>1264</v>
      </c>
      <c r="D11" s="74" t="s">
        <v>1271</v>
      </c>
      <c r="E11" s="74" t="s">
        <v>1266</v>
      </c>
      <c r="F11" s="74" t="s">
        <v>1267</v>
      </c>
      <c r="G11" s="74" t="s">
        <v>1268</v>
      </c>
      <c r="I11" s="5" t="s">
        <v>669</v>
      </c>
      <c r="J11" s="3" t="s">
        <v>261</v>
      </c>
    </row>
    <row r="12" spans="1:12" x14ac:dyDescent="0.2">
      <c r="A12" s="40">
        <v>1018</v>
      </c>
      <c r="B12" s="39" t="s">
        <v>1243</v>
      </c>
      <c r="C12" s="40" t="s">
        <v>1264</v>
      </c>
      <c r="D12" s="74" t="s">
        <v>1271</v>
      </c>
      <c r="E12" s="74" t="s">
        <v>1266</v>
      </c>
      <c r="F12" s="74" t="s">
        <v>1267</v>
      </c>
      <c r="G12" s="74" t="s">
        <v>1268</v>
      </c>
      <c r="I12" s="5" t="s">
        <v>2580</v>
      </c>
      <c r="J12" s="3" t="s">
        <v>784</v>
      </c>
    </row>
    <row r="13" spans="1:12" x14ac:dyDescent="0.2">
      <c r="A13" s="40">
        <v>1020</v>
      </c>
      <c r="B13" s="39" t="s">
        <v>1243</v>
      </c>
      <c r="C13" s="40" t="s">
        <v>1264</v>
      </c>
      <c r="D13" s="74" t="s">
        <v>1269</v>
      </c>
      <c r="E13" s="74" t="s">
        <v>1266</v>
      </c>
      <c r="F13" s="74" t="s">
        <v>1268</v>
      </c>
      <c r="G13" s="74" t="s">
        <v>1268</v>
      </c>
      <c r="I13" s="5" t="s">
        <v>871</v>
      </c>
      <c r="J13" s="3" t="s">
        <v>785</v>
      </c>
    </row>
    <row r="14" spans="1:12" x14ac:dyDescent="0.2">
      <c r="A14" s="40">
        <v>1021</v>
      </c>
      <c r="B14" s="39" t="s">
        <v>1270</v>
      </c>
      <c r="C14" s="40" t="s">
        <v>1264</v>
      </c>
      <c r="D14" s="74" t="s">
        <v>1271</v>
      </c>
      <c r="E14" s="74" t="s">
        <v>1266</v>
      </c>
      <c r="F14" s="74" t="s">
        <v>1267</v>
      </c>
      <c r="G14" s="74" t="s">
        <v>1268</v>
      </c>
      <c r="I14" s="5" t="s">
        <v>1075</v>
      </c>
      <c r="J14" s="3" t="s">
        <v>786</v>
      </c>
    </row>
    <row r="15" spans="1:12" x14ac:dyDescent="0.2">
      <c r="A15" s="40">
        <v>1022</v>
      </c>
      <c r="B15" s="39" t="s">
        <v>1243</v>
      </c>
      <c r="C15" s="40" t="s">
        <v>1264</v>
      </c>
      <c r="D15" s="74" t="s">
        <v>1271</v>
      </c>
      <c r="E15" s="74" t="s">
        <v>1266</v>
      </c>
      <c r="F15" s="74" t="s">
        <v>1267</v>
      </c>
      <c r="G15" s="74" t="s">
        <v>1268</v>
      </c>
      <c r="I15" s="5" t="s">
        <v>1264</v>
      </c>
      <c r="J15" s="3" t="s">
        <v>1243</v>
      </c>
    </row>
    <row r="16" spans="1:12" x14ac:dyDescent="0.2">
      <c r="A16" s="40">
        <v>1023</v>
      </c>
      <c r="B16" s="39" t="s">
        <v>1243</v>
      </c>
      <c r="C16" s="40" t="s">
        <v>1264</v>
      </c>
      <c r="D16" s="74" t="s">
        <v>1271</v>
      </c>
      <c r="E16" s="74" t="s">
        <v>1266</v>
      </c>
      <c r="F16" s="74" t="s">
        <v>1267</v>
      </c>
      <c r="G16" s="74" t="s">
        <v>1268</v>
      </c>
    </row>
    <row r="17" spans="1:7" x14ac:dyDescent="0.2">
      <c r="A17" s="40">
        <v>1024</v>
      </c>
      <c r="B17" s="39" t="s">
        <v>1243</v>
      </c>
      <c r="C17" s="40" t="s">
        <v>1264</v>
      </c>
      <c r="D17" s="74" t="s">
        <v>1271</v>
      </c>
      <c r="E17" s="74" t="s">
        <v>1266</v>
      </c>
      <c r="F17" s="74" t="s">
        <v>1267</v>
      </c>
      <c r="G17" s="74" t="s">
        <v>1268</v>
      </c>
    </row>
    <row r="18" spans="1:7" x14ac:dyDescent="0.2">
      <c r="A18" s="40">
        <v>1025</v>
      </c>
      <c r="B18" s="39" t="s">
        <v>1243</v>
      </c>
      <c r="C18" s="40" t="s">
        <v>1264</v>
      </c>
      <c r="D18" s="74" t="s">
        <v>1271</v>
      </c>
      <c r="E18" s="74" t="s">
        <v>1266</v>
      </c>
      <c r="F18" s="74" t="s">
        <v>1267</v>
      </c>
      <c r="G18" s="74" t="s">
        <v>1268</v>
      </c>
    </row>
    <row r="19" spans="1:7" x14ac:dyDescent="0.2">
      <c r="A19" s="40">
        <v>1029</v>
      </c>
      <c r="B19" s="39" t="s">
        <v>1243</v>
      </c>
      <c r="C19" s="40" t="s">
        <v>1264</v>
      </c>
      <c r="D19" s="74" t="s">
        <v>1265</v>
      </c>
      <c r="E19" s="74" t="s">
        <v>1266</v>
      </c>
      <c r="F19" s="74" t="s">
        <v>1267</v>
      </c>
      <c r="G19" s="74" t="s">
        <v>1268</v>
      </c>
    </row>
    <row r="20" spans="1:7" x14ac:dyDescent="0.2">
      <c r="A20" s="40">
        <v>1030</v>
      </c>
      <c r="B20" s="39" t="s">
        <v>1243</v>
      </c>
      <c r="C20" s="40" t="s">
        <v>1264</v>
      </c>
      <c r="D20" s="74" t="s">
        <v>1269</v>
      </c>
      <c r="E20" s="74" t="s">
        <v>1266</v>
      </c>
      <c r="F20" s="74" t="s">
        <v>1268</v>
      </c>
      <c r="G20" s="74" t="s">
        <v>1268</v>
      </c>
    </row>
    <row r="21" spans="1:7" x14ac:dyDescent="0.2">
      <c r="A21" s="40">
        <v>1031</v>
      </c>
      <c r="B21" s="39" t="s">
        <v>1270</v>
      </c>
      <c r="C21" s="40" t="s">
        <v>1264</v>
      </c>
      <c r="D21" s="74" t="s">
        <v>1271</v>
      </c>
      <c r="E21" s="74" t="s">
        <v>1266</v>
      </c>
      <c r="F21" s="74" t="s">
        <v>1267</v>
      </c>
      <c r="G21" s="74" t="s">
        <v>1268</v>
      </c>
    </row>
    <row r="22" spans="1:7" x14ac:dyDescent="0.2">
      <c r="A22" s="40">
        <v>1033</v>
      </c>
      <c r="B22" s="39" t="s">
        <v>1243</v>
      </c>
      <c r="C22" s="40" t="s">
        <v>1264</v>
      </c>
      <c r="D22" s="74" t="s">
        <v>1271</v>
      </c>
      <c r="E22" s="74" t="s">
        <v>1266</v>
      </c>
      <c r="F22" s="74" t="s">
        <v>1267</v>
      </c>
      <c r="G22" s="74" t="s">
        <v>1268</v>
      </c>
    </row>
    <row r="23" spans="1:7" x14ac:dyDescent="0.2">
      <c r="A23" s="40">
        <v>1034</v>
      </c>
      <c r="B23" s="39" t="s">
        <v>1243</v>
      </c>
      <c r="C23" s="40" t="s">
        <v>1264</v>
      </c>
      <c r="D23" s="74" t="s">
        <v>1271</v>
      </c>
      <c r="E23" s="74" t="s">
        <v>1266</v>
      </c>
      <c r="F23" s="74" t="s">
        <v>1267</v>
      </c>
      <c r="G23" s="74" t="s">
        <v>1268</v>
      </c>
    </row>
    <row r="24" spans="1:7" x14ac:dyDescent="0.2">
      <c r="A24" s="40">
        <v>1035</v>
      </c>
      <c r="B24" s="39" t="s">
        <v>1243</v>
      </c>
      <c r="C24" s="40" t="s">
        <v>1264</v>
      </c>
      <c r="D24" s="74" t="s">
        <v>1271</v>
      </c>
      <c r="E24" s="74" t="s">
        <v>1266</v>
      </c>
      <c r="F24" s="74" t="s">
        <v>1267</v>
      </c>
      <c r="G24" s="74" t="s">
        <v>1268</v>
      </c>
    </row>
    <row r="25" spans="1:7" x14ac:dyDescent="0.2">
      <c r="A25" s="40">
        <v>1036</v>
      </c>
      <c r="B25" s="39" t="s">
        <v>1243</v>
      </c>
      <c r="C25" s="40" t="s">
        <v>1264</v>
      </c>
      <c r="D25" s="74" t="s">
        <v>1271</v>
      </c>
      <c r="E25" s="74" t="s">
        <v>1266</v>
      </c>
      <c r="F25" s="74" t="s">
        <v>1267</v>
      </c>
      <c r="G25" s="74" t="s">
        <v>1268</v>
      </c>
    </row>
    <row r="26" spans="1:7" x14ac:dyDescent="0.2">
      <c r="A26" s="40">
        <v>1037</v>
      </c>
      <c r="B26" s="39" t="s">
        <v>1243</v>
      </c>
      <c r="C26" s="40" t="s">
        <v>1264</v>
      </c>
      <c r="D26" s="74" t="s">
        <v>1271</v>
      </c>
      <c r="E26" s="74" t="s">
        <v>1266</v>
      </c>
      <c r="F26" s="74" t="s">
        <v>1267</v>
      </c>
      <c r="G26" s="74" t="s">
        <v>1268</v>
      </c>
    </row>
    <row r="27" spans="1:7" x14ac:dyDescent="0.2">
      <c r="A27" s="40">
        <v>1038</v>
      </c>
      <c r="B27" s="39" t="s">
        <v>1243</v>
      </c>
      <c r="C27" s="40" t="s">
        <v>1264</v>
      </c>
      <c r="D27" s="74" t="s">
        <v>1265</v>
      </c>
      <c r="E27" s="74" t="s">
        <v>1266</v>
      </c>
      <c r="F27" s="74" t="s">
        <v>1267</v>
      </c>
      <c r="G27" s="74" t="s">
        <v>1268</v>
      </c>
    </row>
    <row r="28" spans="1:7" x14ac:dyDescent="0.2">
      <c r="A28" s="40">
        <v>1039</v>
      </c>
      <c r="B28" s="39" t="s">
        <v>1243</v>
      </c>
      <c r="C28" s="40" t="s">
        <v>1264</v>
      </c>
      <c r="D28" s="74" t="s">
        <v>1265</v>
      </c>
      <c r="E28" s="74" t="s">
        <v>1266</v>
      </c>
      <c r="F28" s="74" t="s">
        <v>1267</v>
      </c>
      <c r="G28" s="74" t="s">
        <v>1268</v>
      </c>
    </row>
    <row r="29" spans="1:7" x14ac:dyDescent="0.2">
      <c r="A29" s="40">
        <v>1040</v>
      </c>
      <c r="B29" s="39" t="s">
        <v>1243</v>
      </c>
      <c r="C29" s="40" t="s">
        <v>1264</v>
      </c>
      <c r="D29" s="74" t="s">
        <v>1269</v>
      </c>
      <c r="E29" s="74" t="s">
        <v>1266</v>
      </c>
      <c r="F29" s="74" t="s">
        <v>1268</v>
      </c>
      <c r="G29" s="74" t="s">
        <v>1268</v>
      </c>
    </row>
    <row r="30" spans="1:7" x14ac:dyDescent="0.2">
      <c r="A30" s="40">
        <v>1041</v>
      </c>
      <c r="B30" s="39" t="s">
        <v>1270</v>
      </c>
      <c r="C30" s="40" t="s">
        <v>1264</v>
      </c>
      <c r="D30" s="74" t="s">
        <v>1271</v>
      </c>
      <c r="E30" s="74" t="s">
        <v>1266</v>
      </c>
      <c r="F30" s="74" t="s">
        <v>1267</v>
      </c>
      <c r="G30" s="74" t="s">
        <v>1268</v>
      </c>
    </row>
    <row r="31" spans="1:7" x14ac:dyDescent="0.2">
      <c r="A31" s="40">
        <v>1042</v>
      </c>
      <c r="B31" s="39" t="s">
        <v>1243</v>
      </c>
      <c r="C31" s="40" t="s">
        <v>1264</v>
      </c>
      <c r="D31" s="74" t="s">
        <v>1271</v>
      </c>
      <c r="E31" s="74" t="s">
        <v>1266</v>
      </c>
      <c r="F31" s="74" t="s">
        <v>1267</v>
      </c>
      <c r="G31" s="74" t="s">
        <v>1268</v>
      </c>
    </row>
    <row r="32" spans="1:7" x14ac:dyDescent="0.2">
      <c r="A32" s="40">
        <v>1043</v>
      </c>
      <c r="B32" s="39" t="s">
        <v>1243</v>
      </c>
      <c r="C32" s="40" t="s">
        <v>1264</v>
      </c>
      <c r="D32" s="74" t="s">
        <v>1271</v>
      </c>
      <c r="E32" s="74" t="s">
        <v>1266</v>
      </c>
      <c r="F32" s="74" t="s">
        <v>1267</v>
      </c>
      <c r="G32" s="74" t="s">
        <v>1268</v>
      </c>
    </row>
    <row r="33" spans="1:7" x14ac:dyDescent="0.2">
      <c r="A33" s="40">
        <v>1045</v>
      </c>
      <c r="B33" s="39" t="s">
        <v>1243</v>
      </c>
      <c r="C33" s="40" t="s">
        <v>1264</v>
      </c>
      <c r="D33" s="74" t="s">
        <v>1265</v>
      </c>
      <c r="E33" s="74" t="s">
        <v>1266</v>
      </c>
      <c r="F33" s="74" t="s">
        <v>1267</v>
      </c>
      <c r="G33" s="74" t="s">
        <v>1268</v>
      </c>
    </row>
    <row r="34" spans="1:7" x14ac:dyDescent="0.2">
      <c r="A34" s="40">
        <v>1050</v>
      </c>
      <c r="B34" s="39" t="s">
        <v>1243</v>
      </c>
      <c r="C34" s="40" t="s">
        <v>1264</v>
      </c>
      <c r="D34" s="74" t="s">
        <v>1269</v>
      </c>
      <c r="E34" s="74" t="s">
        <v>1266</v>
      </c>
      <c r="F34" s="74" t="s">
        <v>1268</v>
      </c>
      <c r="G34" s="74" t="s">
        <v>1268</v>
      </c>
    </row>
    <row r="35" spans="1:7" x14ac:dyDescent="0.2">
      <c r="A35" s="40">
        <v>1051</v>
      </c>
      <c r="B35" s="39" t="s">
        <v>1270</v>
      </c>
      <c r="C35" s="40" t="s">
        <v>1264</v>
      </c>
      <c r="D35" s="74" t="s">
        <v>1271</v>
      </c>
      <c r="E35" s="74" t="s">
        <v>1266</v>
      </c>
      <c r="F35" s="74" t="s">
        <v>1267</v>
      </c>
      <c r="G35" s="74" t="s">
        <v>1268</v>
      </c>
    </row>
    <row r="36" spans="1:7" x14ac:dyDescent="0.2">
      <c r="A36" s="40">
        <v>1052</v>
      </c>
      <c r="B36" s="39" t="s">
        <v>1243</v>
      </c>
      <c r="C36" s="40" t="s">
        <v>1264</v>
      </c>
      <c r="D36" s="74" t="s">
        <v>1271</v>
      </c>
      <c r="E36" s="74" t="s">
        <v>1266</v>
      </c>
      <c r="F36" s="74" t="s">
        <v>1267</v>
      </c>
      <c r="G36" s="74" t="s">
        <v>1268</v>
      </c>
    </row>
    <row r="37" spans="1:7" x14ac:dyDescent="0.2">
      <c r="A37" s="40">
        <v>1053</v>
      </c>
      <c r="B37" s="39" t="s">
        <v>1243</v>
      </c>
      <c r="C37" s="40" t="s">
        <v>1264</v>
      </c>
      <c r="D37" s="74" t="s">
        <v>1271</v>
      </c>
      <c r="E37" s="74" t="s">
        <v>1266</v>
      </c>
      <c r="F37" s="74" t="s">
        <v>1267</v>
      </c>
      <c r="G37" s="74" t="s">
        <v>1268</v>
      </c>
    </row>
    <row r="38" spans="1:7" x14ac:dyDescent="0.2">
      <c r="A38" s="40">
        <v>1060</v>
      </c>
      <c r="B38" s="39" t="s">
        <v>1243</v>
      </c>
      <c r="C38" s="40" t="s">
        <v>1264</v>
      </c>
      <c r="D38" s="74" t="s">
        <v>1269</v>
      </c>
      <c r="E38" s="74" t="s">
        <v>1266</v>
      </c>
      <c r="F38" s="74" t="s">
        <v>1268</v>
      </c>
      <c r="G38" s="74" t="s">
        <v>1268</v>
      </c>
    </row>
    <row r="39" spans="1:7" x14ac:dyDescent="0.2">
      <c r="A39" s="40">
        <v>1061</v>
      </c>
      <c r="B39" s="39" t="s">
        <v>1270</v>
      </c>
      <c r="C39" s="40" t="s">
        <v>1264</v>
      </c>
      <c r="D39" s="74" t="s">
        <v>1271</v>
      </c>
      <c r="E39" s="74" t="s">
        <v>1266</v>
      </c>
      <c r="F39" s="74" t="s">
        <v>1267</v>
      </c>
      <c r="G39" s="74" t="s">
        <v>1268</v>
      </c>
    </row>
    <row r="40" spans="1:7" x14ac:dyDescent="0.2">
      <c r="A40" s="40">
        <v>1062</v>
      </c>
      <c r="B40" s="39" t="s">
        <v>1243</v>
      </c>
      <c r="C40" s="40" t="s">
        <v>1264</v>
      </c>
      <c r="D40" s="74" t="s">
        <v>1271</v>
      </c>
      <c r="E40" s="74" t="s">
        <v>1266</v>
      </c>
      <c r="F40" s="74" t="s">
        <v>1267</v>
      </c>
      <c r="G40" s="74" t="s">
        <v>1268</v>
      </c>
    </row>
    <row r="41" spans="1:7" x14ac:dyDescent="0.2">
      <c r="A41" s="40">
        <v>1063</v>
      </c>
      <c r="B41" s="39" t="s">
        <v>1273</v>
      </c>
      <c r="C41" s="40" t="s">
        <v>1264</v>
      </c>
      <c r="D41" s="74" t="s">
        <v>1265</v>
      </c>
      <c r="E41" s="74" t="s">
        <v>1266</v>
      </c>
      <c r="F41" s="74" t="s">
        <v>1267</v>
      </c>
      <c r="G41" s="74" t="s">
        <v>1268</v>
      </c>
    </row>
    <row r="42" spans="1:7" x14ac:dyDescent="0.2">
      <c r="A42" s="40">
        <v>1070</v>
      </c>
      <c r="B42" s="39" t="s">
        <v>1243</v>
      </c>
      <c r="C42" s="40" t="s">
        <v>1264</v>
      </c>
      <c r="D42" s="74" t="s">
        <v>1269</v>
      </c>
      <c r="E42" s="74" t="s">
        <v>1266</v>
      </c>
      <c r="F42" s="74" t="s">
        <v>1268</v>
      </c>
      <c r="G42" s="74" t="s">
        <v>1268</v>
      </c>
    </row>
    <row r="43" spans="1:7" x14ac:dyDescent="0.2">
      <c r="A43" s="40">
        <v>1071</v>
      </c>
      <c r="B43" s="39" t="s">
        <v>1270</v>
      </c>
      <c r="C43" s="40" t="s">
        <v>1264</v>
      </c>
      <c r="D43" s="74" t="s">
        <v>1271</v>
      </c>
      <c r="E43" s="74" t="s">
        <v>1266</v>
      </c>
      <c r="F43" s="74" t="s">
        <v>1267</v>
      </c>
      <c r="G43" s="74" t="s">
        <v>1268</v>
      </c>
    </row>
    <row r="44" spans="1:7" x14ac:dyDescent="0.2">
      <c r="A44" s="40">
        <v>1072</v>
      </c>
      <c r="B44" s="39" t="s">
        <v>1243</v>
      </c>
      <c r="C44" s="40" t="s">
        <v>1264</v>
      </c>
      <c r="D44" s="74" t="s">
        <v>1271</v>
      </c>
      <c r="E44" s="74" t="s">
        <v>1266</v>
      </c>
      <c r="F44" s="74" t="s">
        <v>1267</v>
      </c>
      <c r="G44" s="74" t="s">
        <v>1268</v>
      </c>
    </row>
    <row r="45" spans="1:7" x14ac:dyDescent="0.2">
      <c r="A45" s="40">
        <v>1080</v>
      </c>
      <c r="B45" s="39" t="s">
        <v>1243</v>
      </c>
      <c r="C45" s="40" t="s">
        <v>1264</v>
      </c>
      <c r="D45" s="74" t="s">
        <v>1269</v>
      </c>
      <c r="E45" s="74" t="s">
        <v>1266</v>
      </c>
      <c r="F45" s="74" t="s">
        <v>1268</v>
      </c>
      <c r="G45" s="74" t="s">
        <v>1268</v>
      </c>
    </row>
    <row r="46" spans="1:7" x14ac:dyDescent="0.2">
      <c r="A46" s="40">
        <v>1081</v>
      </c>
      <c r="B46" s="39" t="s">
        <v>1270</v>
      </c>
      <c r="C46" s="40" t="s">
        <v>1264</v>
      </c>
      <c r="D46" s="74" t="s">
        <v>1271</v>
      </c>
      <c r="E46" s="74" t="s">
        <v>1266</v>
      </c>
      <c r="F46" s="74" t="s">
        <v>1267</v>
      </c>
      <c r="G46" s="74" t="s">
        <v>1268</v>
      </c>
    </row>
    <row r="47" spans="1:7" x14ac:dyDescent="0.2">
      <c r="A47" s="40">
        <v>1082</v>
      </c>
      <c r="B47" s="39" t="s">
        <v>1243</v>
      </c>
      <c r="C47" s="40" t="s">
        <v>1264</v>
      </c>
      <c r="D47" s="74" t="s">
        <v>1271</v>
      </c>
      <c r="E47" s="74" t="s">
        <v>1266</v>
      </c>
      <c r="F47" s="74" t="s">
        <v>1267</v>
      </c>
      <c r="G47" s="74" t="s">
        <v>1268</v>
      </c>
    </row>
    <row r="48" spans="1:7" x14ac:dyDescent="0.2">
      <c r="A48" s="40">
        <v>1090</v>
      </c>
      <c r="B48" s="39" t="s">
        <v>1243</v>
      </c>
      <c r="C48" s="40" t="s">
        <v>1264</v>
      </c>
      <c r="D48" s="74" t="s">
        <v>1269</v>
      </c>
      <c r="E48" s="74" t="s">
        <v>1266</v>
      </c>
      <c r="F48" s="74" t="s">
        <v>1268</v>
      </c>
      <c r="G48" s="74" t="s">
        <v>1268</v>
      </c>
    </row>
    <row r="49" spans="1:7" x14ac:dyDescent="0.2">
      <c r="A49" s="40">
        <v>1091</v>
      </c>
      <c r="B49" s="39" t="s">
        <v>1270</v>
      </c>
      <c r="C49" s="40" t="s">
        <v>1264</v>
      </c>
      <c r="D49" s="74" t="s">
        <v>1271</v>
      </c>
      <c r="E49" s="74" t="s">
        <v>1266</v>
      </c>
      <c r="F49" s="74" t="s">
        <v>1267</v>
      </c>
      <c r="G49" s="74" t="s">
        <v>1268</v>
      </c>
    </row>
    <row r="50" spans="1:7" x14ac:dyDescent="0.2">
      <c r="A50" s="40">
        <v>1092</v>
      </c>
      <c r="B50" s="39" t="s">
        <v>1243</v>
      </c>
      <c r="C50" s="40" t="s">
        <v>1264</v>
      </c>
      <c r="D50" s="74" t="s">
        <v>1271</v>
      </c>
      <c r="E50" s="74" t="s">
        <v>1266</v>
      </c>
      <c r="F50" s="74" t="s">
        <v>1267</v>
      </c>
      <c r="G50" s="74" t="s">
        <v>1268</v>
      </c>
    </row>
    <row r="51" spans="1:7" x14ac:dyDescent="0.2">
      <c r="A51" s="40">
        <v>1093</v>
      </c>
      <c r="B51" s="39" t="s">
        <v>1243</v>
      </c>
      <c r="C51" s="40" t="s">
        <v>1264</v>
      </c>
      <c r="D51" s="74" t="s">
        <v>1271</v>
      </c>
      <c r="E51" s="74" t="s">
        <v>1266</v>
      </c>
      <c r="F51" s="74" t="s">
        <v>1267</v>
      </c>
      <c r="G51" s="74" t="s">
        <v>1268</v>
      </c>
    </row>
    <row r="52" spans="1:7" x14ac:dyDescent="0.2">
      <c r="A52" s="40">
        <v>1094</v>
      </c>
      <c r="B52" s="39" t="s">
        <v>1243</v>
      </c>
      <c r="C52" s="40" t="s">
        <v>1264</v>
      </c>
      <c r="D52" s="74" t="s">
        <v>1271</v>
      </c>
      <c r="E52" s="74" t="s">
        <v>1266</v>
      </c>
      <c r="F52" s="74" t="s">
        <v>1267</v>
      </c>
      <c r="G52" s="74" t="s">
        <v>1268</v>
      </c>
    </row>
    <row r="53" spans="1:7" x14ac:dyDescent="0.2">
      <c r="A53" s="40">
        <v>1095</v>
      </c>
      <c r="B53" s="39" t="s">
        <v>1243</v>
      </c>
      <c r="C53" s="40" t="s">
        <v>1264</v>
      </c>
      <c r="D53" s="74" t="s">
        <v>1271</v>
      </c>
      <c r="E53" s="74" t="s">
        <v>1266</v>
      </c>
      <c r="F53" s="74" t="s">
        <v>1267</v>
      </c>
      <c r="G53" s="74" t="s">
        <v>1268</v>
      </c>
    </row>
    <row r="54" spans="1:7" x14ac:dyDescent="0.2">
      <c r="A54" s="40">
        <v>1096</v>
      </c>
      <c r="B54" s="39" t="s">
        <v>1243</v>
      </c>
      <c r="C54" s="40" t="s">
        <v>1264</v>
      </c>
      <c r="D54" s="74" t="s">
        <v>1271</v>
      </c>
      <c r="E54" s="74" t="s">
        <v>1266</v>
      </c>
      <c r="F54" s="74" t="s">
        <v>1267</v>
      </c>
      <c r="G54" s="74" t="s">
        <v>1268</v>
      </c>
    </row>
    <row r="55" spans="1:7" x14ac:dyDescent="0.2">
      <c r="A55" s="40">
        <v>1097</v>
      </c>
      <c r="B55" s="39" t="s">
        <v>1243</v>
      </c>
      <c r="C55" s="40" t="s">
        <v>1264</v>
      </c>
      <c r="D55" s="74" t="s">
        <v>1271</v>
      </c>
      <c r="E55" s="74" t="s">
        <v>1266</v>
      </c>
      <c r="F55" s="74" t="s">
        <v>1267</v>
      </c>
      <c r="G55" s="74" t="s">
        <v>1268</v>
      </c>
    </row>
    <row r="56" spans="1:7" x14ac:dyDescent="0.2">
      <c r="A56" s="40">
        <v>1100</v>
      </c>
      <c r="B56" s="39" t="s">
        <v>1243</v>
      </c>
      <c r="C56" s="40" t="s">
        <v>1264</v>
      </c>
      <c r="D56" s="74" t="s">
        <v>1269</v>
      </c>
      <c r="E56" s="74" t="s">
        <v>1266</v>
      </c>
      <c r="F56" s="74" t="s">
        <v>1268</v>
      </c>
      <c r="G56" s="74" t="s">
        <v>1268</v>
      </c>
    </row>
    <row r="57" spans="1:7" x14ac:dyDescent="0.2">
      <c r="A57" s="40">
        <v>1101</v>
      </c>
      <c r="B57" s="39" t="s">
        <v>1270</v>
      </c>
      <c r="C57" s="40" t="s">
        <v>1264</v>
      </c>
      <c r="D57" s="74" t="s">
        <v>1271</v>
      </c>
      <c r="E57" s="74" t="s">
        <v>1266</v>
      </c>
      <c r="F57" s="74" t="s">
        <v>1267</v>
      </c>
      <c r="G57" s="74" t="s">
        <v>1268</v>
      </c>
    </row>
    <row r="58" spans="1:7" x14ac:dyDescent="0.2">
      <c r="A58" s="40">
        <v>1102</v>
      </c>
      <c r="B58" s="39" t="s">
        <v>1243</v>
      </c>
      <c r="C58" s="40" t="s">
        <v>1264</v>
      </c>
      <c r="D58" s="74" t="s">
        <v>1271</v>
      </c>
      <c r="E58" s="74" t="s">
        <v>1266</v>
      </c>
      <c r="F58" s="74" t="s">
        <v>1267</v>
      </c>
      <c r="G58" s="74" t="s">
        <v>1268</v>
      </c>
    </row>
    <row r="59" spans="1:7" x14ac:dyDescent="0.2">
      <c r="A59" s="40">
        <v>1103</v>
      </c>
      <c r="B59" s="39" t="s">
        <v>1243</v>
      </c>
      <c r="C59" s="40" t="s">
        <v>1264</v>
      </c>
      <c r="D59" s="74" t="s">
        <v>1271</v>
      </c>
      <c r="E59" s="74" t="s">
        <v>1266</v>
      </c>
      <c r="F59" s="74" t="s">
        <v>1267</v>
      </c>
      <c r="G59" s="74" t="s">
        <v>1268</v>
      </c>
    </row>
    <row r="60" spans="1:7" x14ac:dyDescent="0.2">
      <c r="A60" s="40">
        <v>1104</v>
      </c>
      <c r="B60" s="39" t="s">
        <v>1243</v>
      </c>
      <c r="C60" s="40" t="s">
        <v>1264</v>
      </c>
      <c r="D60" s="74" t="s">
        <v>1271</v>
      </c>
      <c r="E60" s="74" t="s">
        <v>1266</v>
      </c>
      <c r="F60" s="74" t="s">
        <v>1267</v>
      </c>
      <c r="G60" s="74" t="s">
        <v>1268</v>
      </c>
    </row>
    <row r="61" spans="1:7" x14ac:dyDescent="0.2">
      <c r="A61" s="40">
        <v>1105</v>
      </c>
      <c r="B61" s="39" t="s">
        <v>1243</v>
      </c>
      <c r="C61" s="40" t="s">
        <v>1264</v>
      </c>
      <c r="D61" s="74" t="s">
        <v>1271</v>
      </c>
      <c r="E61" s="74" t="s">
        <v>1266</v>
      </c>
      <c r="F61" s="74" t="s">
        <v>1267</v>
      </c>
      <c r="G61" s="74" t="s">
        <v>1268</v>
      </c>
    </row>
    <row r="62" spans="1:7" x14ac:dyDescent="0.2">
      <c r="A62" s="40">
        <v>1106</v>
      </c>
      <c r="B62" s="39" t="s">
        <v>1243</v>
      </c>
      <c r="C62" s="40" t="s">
        <v>1264</v>
      </c>
      <c r="D62" s="74" t="s">
        <v>1271</v>
      </c>
      <c r="E62" s="74" t="s">
        <v>1266</v>
      </c>
      <c r="F62" s="74" t="s">
        <v>1267</v>
      </c>
      <c r="G62" s="74" t="s">
        <v>1268</v>
      </c>
    </row>
    <row r="63" spans="1:7" x14ac:dyDescent="0.2">
      <c r="A63" s="40">
        <v>1107</v>
      </c>
      <c r="B63" s="39" t="s">
        <v>1243</v>
      </c>
      <c r="C63" s="40" t="s">
        <v>1264</v>
      </c>
      <c r="D63" s="74" t="s">
        <v>1271</v>
      </c>
      <c r="E63" s="74" t="s">
        <v>1266</v>
      </c>
      <c r="F63" s="74" t="s">
        <v>1267</v>
      </c>
      <c r="G63" s="74" t="s">
        <v>1268</v>
      </c>
    </row>
    <row r="64" spans="1:7" x14ac:dyDescent="0.2">
      <c r="A64" s="40">
        <v>1108</v>
      </c>
      <c r="B64" s="39" t="s">
        <v>1243</v>
      </c>
      <c r="C64" s="40" t="s">
        <v>1264</v>
      </c>
      <c r="D64" s="74" t="s">
        <v>1271</v>
      </c>
      <c r="E64" s="74" t="s">
        <v>1266</v>
      </c>
      <c r="F64" s="74" t="s">
        <v>1267</v>
      </c>
      <c r="G64" s="74" t="s">
        <v>1268</v>
      </c>
    </row>
    <row r="65" spans="1:7" x14ac:dyDescent="0.2">
      <c r="A65" s="40">
        <v>1109</v>
      </c>
      <c r="B65" s="39" t="s">
        <v>1243</v>
      </c>
      <c r="C65" s="40" t="s">
        <v>1264</v>
      </c>
      <c r="D65" s="74" t="s">
        <v>1271</v>
      </c>
      <c r="E65" s="74" t="s">
        <v>1266</v>
      </c>
      <c r="F65" s="74" t="s">
        <v>1267</v>
      </c>
      <c r="G65" s="74" t="s">
        <v>1268</v>
      </c>
    </row>
    <row r="66" spans="1:7" x14ac:dyDescent="0.2">
      <c r="A66" s="40">
        <v>1110</v>
      </c>
      <c r="B66" s="39" t="s">
        <v>1243</v>
      </c>
      <c r="C66" s="40" t="s">
        <v>1264</v>
      </c>
      <c r="D66" s="74" t="s">
        <v>1269</v>
      </c>
      <c r="E66" s="74" t="s">
        <v>1266</v>
      </c>
      <c r="F66" s="74" t="s">
        <v>1268</v>
      </c>
      <c r="G66" s="74" t="s">
        <v>1268</v>
      </c>
    </row>
    <row r="67" spans="1:7" x14ac:dyDescent="0.2">
      <c r="A67" s="40">
        <v>1111</v>
      </c>
      <c r="B67" s="39" t="s">
        <v>1270</v>
      </c>
      <c r="C67" s="40" t="s">
        <v>1264</v>
      </c>
      <c r="D67" s="74" t="s">
        <v>1271</v>
      </c>
      <c r="E67" s="74" t="s">
        <v>1266</v>
      </c>
      <c r="F67" s="74" t="s">
        <v>1267</v>
      </c>
      <c r="G67" s="74" t="s">
        <v>1268</v>
      </c>
    </row>
    <row r="68" spans="1:7" x14ac:dyDescent="0.2">
      <c r="A68" s="40">
        <v>1112</v>
      </c>
      <c r="B68" s="39" t="s">
        <v>1243</v>
      </c>
      <c r="C68" s="40" t="s">
        <v>1264</v>
      </c>
      <c r="D68" s="74" t="s">
        <v>1271</v>
      </c>
      <c r="E68" s="74" t="s">
        <v>1266</v>
      </c>
      <c r="F68" s="74" t="s">
        <v>1267</v>
      </c>
      <c r="G68" s="74" t="s">
        <v>1268</v>
      </c>
    </row>
    <row r="69" spans="1:7" x14ac:dyDescent="0.2">
      <c r="A69" s="40">
        <v>1113</v>
      </c>
      <c r="B69" s="39" t="s">
        <v>1243</v>
      </c>
      <c r="C69" s="40" t="s">
        <v>1264</v>
      </c>
      <c r="D69" s="74" t="s">
        <v>1271</v>
      </c>
      <c r="E69" s="74" t="s">
        <v>1266</v>
      </c>
      <c r="F69" s="74" t="s">
        <v>1267</v>
      </c>
      <c r="G69" s="74" t="s">
        <v>1268</v>
      </c>
    </row>
    <row r="70" spans="1:7" x14ac:dyDescent="0.2">
      <c r="A70" s="40">
        <v>1120</v>
      </c>
      <c r="B70" s="39" t="s">
        <v>1243</v>
      </c>
      <c r="C70" s="40" t="s">
        <v>1264</v>
      </c>
      <c r="D70" s="74" t="s">
        <v>1269</v>
      </c>
      <c r="E70" s="74" t="s">
        <v>1266</v>
      </c>
      <c r="F70" s="74" t="s">
        <v>1268</v>
      </c>
      <c r="G70" s="74" t="s">
        <v>1268</v>
      </c>
    </row>
    <row r="71" spans="1:7" x14ac:dyDescent="0.2">
      <c r="A71" s="40">
        <v>1121</v>
      </c>
      <c r="B71" s="39" t="s">
        <v>1270</v>
      </c>
      <c r="C71" s="40" t="s">
        <v>1264</v>
      </c>
      <c r="D71" s="74" t="s">
        <v>1271</v>
      </c>
      <c r="E71" s="74" t="s">
        <v>1266</v>
      </c>
      <c r="F71" s="74" t="s">
        <v>1267</v>
      </c>
      <c r="G71" s="74" t="s">
        <v>1268</v>
      </c>
    </row>
    <row r="72" spans="1:7" x14ac:dyDescent="0.2">
      <c r="A72" s="40">
        <v>1122</v>
      </c>
      <c r="B72" s="39" t="s">
        <v>1243</v>
      </c>
      <c r="C72" s="40" t="s">
        <v>1264</v>
      </c>
      <c r="D72" s="74" t="s">
        <v>1271</v>
      </c>
      <c r="E72" s="74" t="s">
        <v>1266</v>
      </c>
      <c r="F72" s="74" t="s">
        <v>1267</v>
      </c>
      <c r="G72" s="74" t="s">
        <v>1268</v>
      </c>
    </row>
    <row r="73" spans="1:7" x14ac:dyDescent="0.2">
      <c r="A73" s="40">
        <v>1125</v>
      </c>
      <c r="B73" s="39" t="s">
        <v>1243</v>
      </c>
      <c r="C73" s="40" t="s">
        <v>1264</v>
      </c>
      <c r="D73" s="74" t="s">
        <v>1271</v>
      </c>
      <c r="E73" s="74" t="s">
        <v>1266</v>
      </c>
      <c r="F73" s="74" t="s">
        <v>1267</v>
      </c>
      <c r="G73" s="74" t="s">
        <v>1268</v>
      </c>
    </row>
    <row r="74" spans="1:7" x14ac:dyDescent="0.2">
      <c r="A74" s="40">
        <v>1126</v>
      </c>
      <c r="B74" s="39" t="s">
        <v>1243</v>
      </c>
      <c r="C74" s="40" t="s">
        <v>1264</v>
      </c>
      <c r="D74" s="74" t="s">
        <v>1271</v>
      </c>
      <c r="E74" s="74" t="s">
        <v>1266</v>
      </c>
      <c r="F74" s="74" t="s">
        <v>1267</v>
      </c>
      <c r="G74" s="74" t="s">
        <v>1268</v>
      </c>
    </row>
    <row r="75" spans="1:7" x14ac:dyDescent="0.2">
      <c r="A75" s="40">
        <v>1127</v>
      </c>
      <c r="B75" s="39" t="s">
        <v>1243</v>
      </c>
      <c r="C75" s="40" t="s">
        <v>1264</v>
      </c>
      <c r="D75" s="74" t="s">
        <v>1271</v>
      </c>
      <c r="E75" s="74" t="s">
        <v>1266</v>
      </c>
      <c r="F75" s="74" t="s">
        <v>1267</v>
      </c>
      <c r="G75" s="74" t="s">
        <v>1268</v>
      </c>
    </row>
    <row r="76" spans="1:7" x14ac:dyDescent="0.2">
      <c r="A76" s="40">
        <v>1130</v>
      </c>
      <c r="B76" s="39" t="s">
        <v>1243</v>
      </c>
      <c r="C76" s="40" t="s">
        <v>1264</v>
      </c>
      <c r="D76" s="74" t="s">
        <v>1269</v>
      </c>
      <c r="E76" s="74" t="s">
        <v>1266</v>
      </c>
      <c r="F76" s="74" t="s">
        <v>1268</v>
      </c>
      <c r="G76" s="74" t="s">
        <v>1268</v>
      </c>
    </row>
    <row r="77" spans="1:7" x14ac:dyDescent="0.2">
      <c r="A77" s="40">
        <v>1131</v>
      </c>
      <c r="B77" s="39" t="s">
        <v>1270</v>
      </c>
      <c r="C77" s="40" t="s">
        <v>1264</v>
      </c>
      <c r="D77" s="74" t="s">
        <v>1271</v>
      </c>
      <c r="E77" s="74" t="s">
        <v>1266</v>
      </c>
      <c r="F77" s="74" t="s">
        <v>1267</v>
      </c>
      <c r="G77" s="74" t="s">
        <v>1268</v>
      </c>
    </row>
    <row r="78" spans="1:7" x14ac:dyDescent="0.2">
      <c r="A78" s="40">
        <v>1132</v>
      </c>
      <c r="B78" s="39" t="s">
        <v>1243</v>
      </c>
      <c r="C78" s="40" t="s">
        <v>1264</v>
      </c>
      <c r="D78" s="74" t="s">
        <v>1271</v>
      </c>
      <c r="E78" s="74" t="s">
        <v>1266</v>
      </c>
      <c r="F78" s="74" t="s">
        <v>1267</v>
      </c>
      <c r="G78" s="74" t="s">
        <v>1268</v>
      </c>
    </row>
    <row r="79" spans="1:7" x14ac:dyDescent="0.2">
      <c r="A79" s="40">
        <v>1133</v>
      </c>
      <c r="B79" s="39" t="s">
        <v>1243</v>
      </c>
      <c r="C79" s="40" t="s">
        <v>1264</v>
      </c>
      <c r="D79" s="74" t="s">
        <v>1271</v>
      </c>
      <c r="E79" s="74" t="s">
        <v>1266</v>
      </c>
      <c r="F79" s="74" t="s">
        <v>1267</v>
      </c>
      <c r="G79" s="74" t="s">
        <v>1268</v>
      </c>
    </row>
    <row r="80" spans="1:7" x14ac:dyDescent="0.2">
      <c r="A80" s="40">
        <v>1134</v>
      </c>
      <c r="B80" s="39" t="s">
        <v>1243</v>
      </c>
      <c r="C80" s="40" t="s">
        <v>1264</v>
      </c>
      <c r="D80" s="74" t="s">
        <v>1271</v>
      </c>
      <c r="E80" s="74" t="s">
        <v>1266</v>
      </c>
      <c r="F80" s="74" t="s">
        <v>1267</v>
      </c>
      <c r="G80" s="74" t="s">
        <v>1268</v>
      </c>
    </row>
    <row r="81" spans="1:7" x14ac:dyDescent="0.2">
      <c r="A81" s="40">
        <v>1136</v>
      </c>
      <c r="B81" s="39" t="s">
        <v>1243</v>
      </c>
      <c r="C81" s="40" t="s">
        <v>1264</v>
      </c>
      <c r="D81" s="74" t="s">
        <v>1265</v>
      </c>
      <c r="E81" s="74" t="s">
        <v>1266</v>
      </c>
      <c r="F81" s="74" t="s">
        <v>1267</v>
      </c>
      <c r="G81" s="74" t="s">
        <v>1268</v>
      </c>
    </row>
    <row r="82" spans="1:7" x14ac:dyDescent="0.2">
      <c r="A82" s="40">
        <v>1140</v>
      </c>
      <c r="B82" s="39" t="s">
        <v>1243</v>
      </c>
      <c r="C82" s="40" t="s">
        <v>1264</v>
      </c>
      <c r="D82" s="74" t="s">
        <v>1269</v>
      </c>
      <c r="E82" s="74" t="s">
        <v>1266</v>
      </c>
      <c r="F82" s="74" t="s">
        <v>1268</v>
      </c>
      <c r="G82" s="74" t="s">
        <v>1268</v>
      </c>
    </row>
    <row r="83" spans="1:7" x14ac:dyDescent="0.2">
      <c r="A83" s="40">
        <v>1141</v>
      </c>
      <c r="B83" s="39" t="s">
        <v>1270</v>
      </c>
      <c r="C83" s="40" t="s">
        <v>1264</v>
      </c>
      <c r="D83" s="74" t="s">
        <v>1271</v>
      </c>
      <c r="E83" s="74" t="s">
        <v>1266</v>
      </c>
      <c r="F83" s="74" t="s">
        <v>1267</v>
      </c>
      <c r="G83" s="74" t="s">
        <v>1268</v>
      </c>
    </row>
    <row r="84" spans="1:7" x14ac:dyDescent="0.2">
      <c r="A84" s="40">
        <v>1142</v>
      </c>
      <c r="B84" s="39" t="s">
        <v>1243</v>
      </c>
      <c r="C84" s="40" t="s">
        <v>1264</v>
      </c>
      <c r="D84" s="74" t="s">
        <v>1271</v>
      </c>
      <c r="E84" s="74" t="s">
        <v>1266</v>
      </c>
      <c r="F84" s="74" t="s">
        <v>1267</v>
      </c>
      <c r="G84" s="74" t="s">
        <v>1268</v>
      </c>
    </row>
    <row r="85" spans="1:7" x14ac:dyDescent="0.2">
      <c r="A85" s="40">
        <v>1143</v>
      </c>
      <c r="B85" s="39" t="s">
        <v>1243</v>
      </c>
      <c r="C85" s="40" t="s">
        <v>1264</v>
      </c>
      <c r="D85" s="74" t="s">
        <v>1271</v>
      </c>
      <c r="E85" s="74" t="s">
        <v>1266</v>
      </c>
      <c r="F85" s="74" t="s">
        <v>1267</v>
      </c>
      <c r="G85" s="74" t="s">
        <v>1268</v>
      </c>
    </row>
    <row r="86" spans="1:7" x14ac:dyDescent="0.2">
      <c r="A86" s="40">
        <v>1144</v>
      </c>
      <c r="B86" s="39" t="s">
        <v>1243</v>
      </c>
      <c r="C86" s="40" t="s">
        <v>1264</v>
      </c>
      <c r="D86" s="74" t="s">
        <v>1271</v>
      </c>
      <c r="E86" s="74" t="s">
        <v>1266</v>
      </c>
      <c r="F86" s="74" t="s">
        <v>1267</v>
      </c>
      <c r="G86" s="74" t="s">
        <v>1268</v>
      </c>
    </row>
    <row r="87" spans="1:7" x14ac:dyDescent="0.2">
      <c r="A87" s="40">
        <v>1145</v>
      </c>
      <c r="B87" s="39" t="s">
        <v>1243</v>
      </c>
      <c r="C87" s="40" t="s">
        <v>1264</v>
      </c>
      <c r="D87" s="74" t="s">
        <v>1271</v>
      </c>
      <c r="E87" s="74" t="s">
        <v>1266</v>
      </c>
      <c r="F87" s="74" t="s">
        <v>1267</v>
      </c>
      <c r="G87" s="74" t="s">
        <v>1268</v>
      </c>
    </row>
    <row r="88" spans="1:7" x14ac:dyDescent="0.2">
      <c r="A88" s="40">
        <v>1147</v>
      </c>
      <c r="B88" s="39" t="s">
        <v>1243</v>
      </c>
      <c r="C88" s="40" t="s">
        <v>1264</v>
      </c>
      <c r="D88" s="74" t="s">
        <v>1271</v>
      </c>
      <c r="E88" s="74" t="s">
        <v>1266</v>
      </c>
      <c r="F88" s="74" t="s">
        <v>1267</v>
      </c>
      <c r="G88" s="74" t="s">
        <v>1268</v>
      </c>
    </row>
    <row r="89" spans="1:7" x14ac:dyDescent="0.2">
      <c r="A89" s="40">
        <v>1148</v>
      </c>
      <c r="B89" s="39" t="s">
        <v>1243</v>
      </c>
      <c r="C89" s="40" t="s">
        <v>1264</v>
      </c>
      <c r="D89" s="74" t="s">
        <v>1265</v>
      </c>
      <c r="E89" s="74" t="s">
        <v>1266</v>
      </c>
      <c r="F89" s="74" t="s">
        <v>1267</v>
      </c>
      <c r="G89" s="74" t="s">
        <v>1268</v>
      </c>
    </row>
    <row r="90" spans="1:7" x14ac:dyDescent="0.2">
      <c r="A90" s="40">
        <v>1150</v>
      </c>
      <c r="B90" s="39" t="s">
        <v>1243</v>
      </c>
      <c r="C90" s="40" t="s">
        <v>1264</v>
      </c>
      <c r="D90" s="74" t="s">
        <v>1269</v>
      </c>
      <c r="E90" s="74" t="s">
        <v>1266</v>
      </c>
      <c r="F90" s="74" t="s">
        <v>1268</v>
      </c>
      <c r="G90" s="74" t="s">
        <v>1268</v>
      </c>
    </row>
    <row r="91" spans="1:7" x14ac:dyDescent="0.2">
      <c r="A91" s="40">
        <v>1151</v>
      </c>
      <c r="B91" s="39" t="s">
        <v>1270</v>
      </c>
      <c r="C91" s="40" t="s">
        <v>1264</v>
      </c>
      <c r="D91" s="74" t="s">
        <v>1271</v>
      </c>
      <c r="E91" s="74" t="s">
        <v>1266</v>
      </c>
      <c r="F91" s="74" t="s">
        <v>1267</v>
      </c>
      <c r="G91" s="74" t="s">
        <v>1268</v>
      </c>
    </row>
    <row r="92" spans="1:7" x14ac:dyDescent="0.2">
      <c r="A92" s="40">
        <v>1152</v>
      </c>
      <c r="B92" s="39" t="s">
        <v>1243</v>
      </c>
      <c r="C92" s="40" t="s">
        <v>1264</v>
      </c>
      <c r="D92" s="74" t="s">
        <v>1271</v>
      </c>
      <c r="E92" s="74" t="s">
        <v>1266</v>
      </c>
      <c r="F92" s="74" t="s">
        <v>1267</v>
      </c>
      <c r="G92" s="74" t="s">
        <v>1268</v>
      </c>
    </row>
    <row r="93" spans="1:7" x14ac:dyDescent="0.2">
      <c r="A93" s="40">
        <v>1153</v>
      </c>
      <c r="B93" s="39" t="s">
        <v>1243</v>
      </c>
      <c r="C93" s="40" t="s">
        <v>1264</v>
      </c>
      <c r="D93" s="74" t="s">
        <v>1271</v>
      </c>
      <c r="E93" s="74" t="s">
        <v>1266</v>
      </c>
      <c r="F93" s="74" t="s">
        <v>1267</v>
      </c>
      <c r="G93" s="74" t="s">
        <v>1268</v>
      </c>
    </row>
    <row r="94" spans="1:7" x14ac:dyDescent="0.2">
      <c r="A94" s="40">
        <v>1160</v>
      </c>
      <c r="B94" s="39" t="s">
        <v>1243</v>
      </c>
      <c r="C94" s="40" t="s">
        <v>1264</v>
      </c>
      <c r="D94" s="74" t="s">
        <v>1269</v>
      </c>
      <c r="E94" s="74" t="s">
        <v>1266</v>
      </c>
      <c r="F94" s="74" t="s">
        <v>1268</v>
      </c>
      <c r="G94" s="74" t="s">
        <v>1268</v>
      </c>
    </row>
    <row r="95" spans="1:7" x14ac:dyDescent="0.2">
      <c r="A95" s="40">
        <v>1161</v>
      </c>
      <c r="B95" s="39" t="s">
        <v>1270</v>
      </c>
      <c r="C95" s="40" t="s">
        <v>1264</v>
      </c>
      <c r="D95" s="74" t="s">
        <v>1271</v>
      </c>
      <c r="E95" s="74" t="s">
        <v>1266</v>
      </c>
      <c r="F95" s="74" t="s">
        <v>1267</v>
      </c>
      <c r="G95" s="74" t="s">
        <v>1268</v>
      </c>
    </row>
    <row r="96" spans="1:7" x14ac:dyDescent="0.2">
      <c r="A96" s="40">
        <v>1163</v>
      </c>
      <c r="B96" s="39" t="s">
        <v>1243</v>
      </c>
      <c r="C96" s="40" t="s">
        <v>1264</v>
      </c>
      <c r="D96" s="74" t="s">
        <v>1271</v>
      </c>
      <c r="E96" s="74" t="s">
        <v>1266</v>
      </c>
      <c r="F96" s="74" t="s">
        <v>1267</v>
      </c>
      <c r="G96" s="74" t="s">
        <v>1268</v>
      </c>
    </row>
    <row r="97" spans="1:7" x14ac:dyDescent="0.2">
      <c r="A97" s="40">
        <v>1165</v>
      </c>
      <c r="B97" s="39" t="s">
        <v>1243</v>
      </c>
      <c r="C97" s="40" t="s">
        <v>1264</v>
      </c>
      <c r="D97" s="74" t="s">
        <v>1271</v>
      </c>
      <c r="E97" s="74" t="s">
        <v>1266</v>
      </c>
      <c r="F97" s="74" t="s">
        <v>1267</v>
      </c>
      <c r="G97" s="74" t="s">
        <v>1268</v>
      </c>
    </row>
    <row r="98" spans="1:7" x14ac:dyDescent="0.2">
      <c r="A98" s="40">
        <v>1166</v>
      </c>
      <c r="B98" s="39" t="s">
        <v>1243</v>
      </c>
      <c r="C98" s="40" t="s">
        <v>1264</v>
      </c>
      <c r="D98" s="74" t="s">
        <v>1271</v>
      </c>
      <c r="E98" s="74" t="s">
        <v>1266</v>
      </c>
      <c r="F98" s="74" t="s">
        <v>1267</v>
      </c>
      <c r="G98" s="74" t="s">
        <v>1268</v>
      </c>
    </row>
    <row r="99" spans="1:7" x14ac:dyDescent="0.2">
      <c r="A99" s="40">
        <v>1170</v>
      </c>
      <c r="B99" s="39" t="s">
        <v>1243</v>
      </c>
      <c r="C99" s="40" t="s">
        <v>1264</v>
      </c>
      <c r="D99" s="74" t="s">
        <v>1269</v>
      </c>
      <c r="E99" s="74" t="s">
        <v>1266</v>
      </c>
      <c r="F99" s="74" t="s">
        <v>1268</v>
      </c>
      <c r="G99" s="74" t="s">
        <v>1268</v>
      </c>
    </row>
    <row r="100" spans="1:7" x14ac:dyDescent="0.2">
      <c r="A100" s="40">
        <v>1171</v>
      </c>
      <c r="B100" s="39" t="s">
        <v>1270</v>
      </c>
      <c r="C100" s="40" t="s">
        <v>1264</v>
      </c>
      <c r="D100" s="74" t="s">
        <v>1271</v>
      </c>
      <c r="E100" s="74" t="s">
        <v>1266</v>
      </c>
      <c r="F100" s="74" t="s">
        <v>1267</v>
      </c>
      <c r="G100" s="74" t="s">
        <v>1268</v>
      </c>
    </row>
    <row r="101" spans="1:7" x14ac:dyDescent="0.2">
      <c r="A101" s="40">
        <v>1172</v>
      </c>
      <c r="B101" s="39" t="s">
        <v>1243</v>
      </c>
      <c r="C101" s="40" t="s">
        <v>1264</v>
      </c>
      <c r="D101" s="74" t="s">
        <v>1271</v>
      </c>
      <c r="E101" s="74" t="s">
        <v>1266</v>
      </c>
      <c r="F101" s="74" t="s">
        <v>1267</v>
      </c>
      <c r="G101" s="74" t="s">
        <v>1268</v>
      </c>
    </row>
    <row r="102" spans="1:7" x14ac:dyDescent="0.2">
      <c r="A102" s="40">
        <v>1173</v>
      </c>
      <c r="B102" s="39" t="s">
        <v>1243</v>
      </c>
      <c r="C102" s="40" t="s">
        <v>1264</v>
      </c>
      <c r="D102" s="74" t="s">
        <v>1271</v>
      </c>
      <c r="E102" s="74" t="s">
        <v>1266</v>
      </c>
      <c r="F102" s="74" t="s">
        <v>1267</v>
      </c>
      <c r="G102" s="74" t="s">
        <v>1268</v>
      </c>
    </row>
    <row r="103" spans="1:7" x14ac:dyDescent="0.2">
      <c r="A103" s="40">
        <v>1180</v>
      </c>
      <c r="B103" s="39" t="s">
        <v>1243</v>
      </c>
      <c r="C103" s="40" t="s">
        <v>1264</v>
      </c>
      <c r="D103" s="74" t="s">
        <v>1269</v>
      </c>
      <c r="E103" s="74" t="s">
        <v>1266</v>
      </c>
      <c r="F103" s="74" t="s">
        <v>1268</v>
      </c>
      <c r="G103" s="74" t="s">
        <v>1268</v>
      </c>
    </row>
    <row r="104" spans="1:7" x14ac:dyDescent="0.2">
      <c r="A104" s="40">
        <v>1181</v>
      </c>
      <c r="B104" s="39" t="s">
        <v>1270</v>
      </c>
      <c r="C104" s="40" t="s">
        <v>1264</v>
      </c>
      <c r="D104" s="74" t="s">
        <v>1271</v>
      </c>
      <c r="E104" s="74" t="s">
        <v>1266</v>
      </c>
      <c r="F104" s="74" t="s">
        <v>1267</v>
      </c>
      <c r="G104" s="74" t="s">
        <v>1268</v>
      </c>
    </row>
    <row r="105" spans="1:7" x14ac:dyDescent="0.2">
      <c r="A105" s="40">
        <v>1182</v>
      </c>
      <c r="B105" s="39" t="s">
        <v>1243</v>
      </c>
      <c r="C105" s="40" t="s">
        <v>1264</v>
      </c>
      <c r="D105" s="74" t="s">
        <v>1271</v>
      </c>
      <c r="E105" s="74" t="s">
        <v>1266</v>
      </c>
      <c r="F105" s="74" t="s">
        <v>1267</v>
      </c>
      <c r="G105" s="74" t="s">
        <v>1268</v>
      </c>
    </row>
    <row r="106" spans="1:7" x14ac:dyDescent="0.2">
      <c r="A106" s="40">
        <v>1183</v>
      </c>
      <c r="B106" s="39" t="s">
        <v>1243</v>
      </c>
      <c r="C106" s="40" t="s">
        <v>1264</v>
      </c>
      <c r="D106" s="74" t="s">
        <v>1271</v>
      </c>
      <c r="E106" s="74" t="s">
        <v>1266</v>
      </c>
      <c r="F106" s="74" t="s">
        <v>1267</v>
      </c>
      <c r="G106" s="74" t="s">
        <v>1268</v>
      </c>
    </row>
    <row r="107" spans="1:7" x14ac:dyDescent="0.2">
      <c r="A107" s="40">
        <v>1190</v>
      </c>
      <c r="B107" s="39" t="s">
        <v>1243</v>
      </c>
      <c r="C107" s="40" t="s">
        <v>1264</v>
      </c>
      <c r="D107" s="74" t="s">
        <v>1269</v>
      </c>
      <c r="E107" s="74" t="s">
        <v>1266</v>
      </c>
      <c r="F107" s="74" t="s">
        <v>1268</v>
      </c>
      <c r="G107" s="74" t="s">
        <v>1268</v>
      </c>
    </row>
    <row r="108" spans="1:7" x14ac:dyDescent="0.2">
      <c r="A108" s="40">
        <v>1191</v>
      </c>
      <c r="B108" s="39" t="s">
        <v>1270</v>
      </c>
      <c r="C108" s="40" t="s">
        <v>1264</v>
      </c>
      <c r="D108" s="74" t="s">
        <v>1271</v>
      </c>
      <c r="E108" s="74" t="s">
        <v>1266</v>
      </c>
      <c r="F108" s="74" t="s">
        <v>1267</v>
      </c>
      <c r="G108" s="74" t="s">
        <v>1268</v>
      </c>
    </row>
    <row r="109" spans="1:7" x14ac:dyDescent="0.2">
      <c r="A109" s="40">
        <v>1192</v>
      </c>
      <c r="B109" s="39" t="s">
        <v>1243</v>
      </c>
      <c r="C109" s="40" t="s">
        <v>1264</v>
      </c>
      <c r="D109" s="74" t="s">
        <v>1271</v>
      </c>
      <c r="E109" s="74" t="s">
        <v>1266</v>
      </c>
      <c r="F109" s="74" t="s">
        <v>1267</v>
      </c>
      <c r="G109" s="74" t="s">
        <v>1268</v>
      </c>
    </row>
    <row r="110" spans="1:7" x14ac:dyDescent="0.2">
      <c r="A110" s="40">
        <v>1193</v>
      </c>
      <c r="B110" s="39" t="s">
        <v>1243</v>
      </c>
      <c r="C110" s="40" t="s">
        <v>1264</v>
      </c>
      <c r="D110" s="74" t="s">
        <v>1271</v>
      </c>
      <c r="E110" s="74" t="s">
        <v>1266</v>
      </c>
      <c r="F110" s="74" t="s">
        <v>1267</v>
      </c>
      <c r="G110" s="74" t="s">
        <v>1268</v>
      </c>
    </row>
    <row r="111" spans="1:7" x14ac:dyDescent="0.2">
      <c r="A111" s="40">
        <v>1194</v>
      </c>
      <c r="B111" s="39" t="s">
        <v>1243</v>
      </c>
      <c r="C111" s="40" t="s">
        <v>1264</v>
      </c>
      <c r="D111" s="74" t="s">
        <v>1271</v>
      </c>
      <c r="E111" s="74" t="s">
        <v>1266</v>
      </c>
      <c r="F111" s="74" t="s">
        <v>1267</v>
      </c>
      <c r="G111" s="74" t="s">
        <v>1268</v>
      </c>
    </row>
    <row r="112" spans="1:7" x14ac:dyDescent="0.2">
      <c r="A112" s="40">
        <v>1195</v>
      </c>
      <c r="B112" s="39" t="s">
        <v>1243</v>
      </c>
      <c r="C112" s="40" t="s">
        <v>1264</v>
      </c>
      <c r="D112" s="74" t="s">
        <v>1271</v>
      </c>
      <c r="E112" s="74" t="s">
        <v>1266</v>
      </c>
      <c r="F112" s="74" t="s">
        <v>1267</v>
      </c>
      <c r="G112" s="74" t="s">
        <v>1268</v>
      </c>
    </row>
    <row r="113" spans="1:7" x14ac:dyDescent="0.2">
      <c r="A113" s="40">
        <v>1196</v>
      </c>
      <c r="B113" s="39" t="s">
        <v>1243</v>
      </c>
      <c r="C113" s="40" t="s">
        <v>1264</v>
      </c>
      <c r="D113" s="74" t="s">
        <v>1271</v>
      </c>
      <c r="E113" s="74" t="s">
        <v>1266</v>
      </c>
      <c r="F113" s="74" t="s">
        <v>1267</v>
      </c>
      <c r="G113" s="74" t="s">
        <v>1268</v>
      </c>
    </row>
    <row r="114" spans="1:7" x14ac:dyDescent="0.2">
      <c r="A114" s="40">
        <v>1200</v>
      </c>
      <c r="B114" s="39" t="s">
        <v>1243</v>
      </c>
      <c r="C114" s="40" t="s">
        <v>1264</v>
      </c>
      <c r="D114" s="74" t="s">
        <v>1269</v>
      </c>
      <c r="E114" s="74" t="s">
        <v>1266</v>
      </c>
      <c r="F114" s="74" t="s">
        <v>1268</v>
      </c>
      <c r="G114" s="74" t="s">
        <v>1268</v>
      </c>
    </row>
    <row r="115" spans="1:7" x14ac:dyDescent="0.2">
      <c r="A115" s="40">
        <v>1201</v>
      </c>
      <c r="B115" s="39" t="s">
        <v>1270</v>
      </c>
      <c r="C115" s="40" t="s">
        <v>1264</v>
      </c>
      <c r="D115" s="74" t="s">
        <v>1271</v>
      </c>
      <c r="E115" s="74" t="s">
        <v>1266</v>
      </c>
      <c r="F115" s="74" t="s">
        <v>1267</v>
      </c>
      <c r="G115" s="74" t="s">
        <v>1268</v>
      </c>
    </row>
    <row r="116" spans="1:7" x14ac:dyDescent="0.2">
      <c r="A116" s="40">
        <v>1202</v>
      </c>
      <c r="B116" s="39" t="s">
        <v>1243</v>
      </c>
      <c r="C116" s="40" t="s">
        <v>1264</v>
      </c>
      <c r="D116" s="74" t="s">
        <v>1271</v>
      </c>
      <c r="E116" s="74" t="s">
        <v>1266</v>
      </c>
      <c r="F116" s="74" t="s">
        <v>1267</v>
      </c>
      <c r="G116" s="74" t="s">
        <v>1268</v>
      </c>
    </row>
    <row r="117" spans="1:7" x14ac:dyDescent="0.2">
      <c r="A117" s="40">
        <v>1203</v>
      </c>
      <c r="B117" s="39" t="s">
        <v>1243</v>
      </c>
      <c r="C117" s="40" t="s">
        <v>1264</v>
      </c>
      <c r="D117" s="74" t="s">
        <v>1271</v>
      </c>
      <c r="E117" s="74" t="s">
        <v>1266</v>
      </c>
      <c r="F117" s="74" t="s">
        <v>1267</v>
      </c>
      <c r="G117" s="74" t="s">
        <v>1268</v>
      </c>
    </row>
    <row r="118" spans="1:7" x14ac:dyDescent="0.2">
      <c r="A118" s="40">
        <v>1204</v>
      </c>
      <c r="B118" s="39" t="s">
        <v>1243</v>
      </c>
      <c r="C118" s="40" t="s">
        <v>1264</v>
      </c>
      <c r="D118" s="74" t="s">
        <v>1271</v>
      </c>
      <c r="E118" s="74" t="s">
        <v>1266</v>
      </c>
      <c r="F118" s="74" t="s">
        <v>1267</v>
      </c>
      <c r="G118" s="74" t="s">
        <v>1268</v>
      </c>
    </row>
    <row r="119" spans="1:7" x14ac:dyDescent="0.2">
      <c r="A119" s="40">
        <v>1205</v>
      </c>
      <c r="B119" s="39" t="s">
        <v>1243</v>
      </c>
      <c r="C119" s="40" t="s">
        <v>1264</v>
      </c>
      <c r="D119" s="74" t="s">
        <v>1271</v>
      </c>
      <c r="E119" s="74" t="s">
        <v>1266</v>
      </c>
      <c r="F119" s="74" t="s">
        <v>1267</v>
      </c>
      <c r="G119" s="74" t="s">
        <v>1268</v>
      </c>
    </row>
    <row r="120" spans="1:7" x14ac:dyDescent="0.2">
      <c r="A120" s="40">
        <v>1206</v>
      </c>
      <c r="B120" s="39" t="s">
        <v>1243</v>
      </c>
      <c r="C120" s="40" t="s">
        <v>1264</v>
      </c>
      <c r="D120" s="74" t="s">
        <v>1271</v>
      </c>
      <c r="E120" s="74" t="s">
        <v>1266</v>
      </c>
      <c r="F120" s="74" t="s">
        <v>1267</v>
      </c>
      <c r="G120" s="74" t="s">
        <v>1268</v>
      </c>
    </row>
    <row r="121" spans="1:7" x14ac:dyDescent="0.2">
      <c r="A121" s="40">
        <v>1210</v>
      </c>
      <c r="B121" s="39" t="s">
        <v>1243</v>
      </c>
      <c r="C121" s="40" t="s">
        <v>1264</v>
      </c>
      <c r="D121" s="74" t="s">
        <v>1269</v>
      </c>
      <c r="E121" s="74" t="s">
        <v>1266</v>
      </c>
      <c r="F121" s="74" t="s">
        <v>1268</v>
      </c>
      <c r="G121" s="74" t="s">
        <v>1268</v>
      </c>
    </row>
    <row r="122" spans="1:7" x14ac:dyDescent="0.2">
      <c r="A122" s="40">
        <v>1211</v>
      </c>
      <c r="B122" s="39" t="s">
        <v>1270</v>
      </c>
      <c r="C122" s="40" t="s">
        <v>1264</v>
      </c>
      <c r="D122" s="74" t="s">
        <v>1271</v>
      </c>
      <c r="E122" s="74" t="s">
        <v>1266</v>
      </c>
      <c r="F122" s="74" t="s">
        <v>1267</v>
      </c>
      <c r="G122" s="74" t="s">
        <v>1268</v>
      </c>
    </row>
    <row r="123" spans="1:7" x14ac:dyDescent="0.2">
      <c r="A123" s="40">
        <v>1212</v>
      </c>
      <c r="B123" s="39" t="s">
        <v>1243</v>
      </c>
      <c r="C123" s="40" t="s">
        <v>1264</v>
      </c>
      <c r="D123" s="74" t="s">
        <v>1271</v>
      </c>
      <c r="E123" s="74" t="s">
        <v>1266</v>
      </c>
      <c r="F123" s="74" t="s">
        <v>1267</v>
      </c>
      <c r="G123" s="74" t="s">
        <v>1268</v>
      </c>
    </row>
    <row r="124" spans="1:7" x14ac:dyDescent="0.2">
      <c r="A124" s="40">
        <v>1213</v>
      </c>
      <c r="B124" s="39" t="s">
        <v>1243</v>
      </c>
      <c r="C124" s="40" t="s">
        <v>1264</v>
      </c>
      <c r="D124" s="74" t="s">
        <v>1271</v>
      </c>
      <c r="E124" s="74" t="s">
        <v>1266</v>
      </c>
      <c r="F124" s="74" t="s">
        <v>1267</v>
      </c>
      <c r="G124" s="74" t="s">
        <v>1268</v>
      </c>
    </row>
    <row r="125" spans="1:7" x14ac:dyDescent="0.2">
      <c r="A125" s="40">
        <v>1214</v>
      </c>
      <c r="B125" s="39" t="s">
        <v>1243</v>
      </c>
      <c r="C125" s="40" t="s">
        <v>1264</v>
      </c>
      <c r="D125" s="74" t="s">
        <v>1271</v>
      </c>
      <c r="E125" s="74" t="s">
        <v>1266</v>
      </c>
      <c r="F125" s="74" t="s">
        <v>1267</v>
      </c>
      <c r="G125" s="74" t="s">
        <v>1268</v>
      </c>
    </row>
    <row r="126" spans="1:7" x14ac:dyDescent="0.2">
      <c r="A126" s="40">
        <v>1215</v>
      </c>
      <c r="B126" s="39" t="s">
        <v>1243</v>
      </c>
      <c r="C126" s="40" t="s">
        <v>1264</v>
      </c>
      <c r="D126" s="74" t="s">
        <v>1271</v>
      </c>
      <c r="E126" s="74" t="s">
        <v>1266</v>
      </c>
      <c r="F126" s="74" t="s">
        <v>1267</v>
      </c>
      <c r="G126" s="74" t="s">
        <v>1268</v>
      </c>
    </row>
    <row r="127" spans="1:7" x14ac:dyDescent="0.2">
      <c r="A127" s="40">
        <v>1216</v>
      </c>
      <c r="B127" s="39" t="s">
        <v>1243</v>
      </c>
      <c r="C127" s="40" t="s">
        <v>1264</v>
      </c>
      <c r="D127" s="74" t="s">
        <v>1271</v>
      </c>
      <c r="E127" s="74" t="s">
        <v>1266</v>
      </c>
      <c r="F127" s="74" t="s">
        <v>1267</v>
      </c>
      <c r="G127" s="74" t="s">
        <v>1268</v>
      </c>
    </row>
    <row r="128" spans="1:7" x14ac:dyDescent="0.2">
      <c r="A128" s="40">
        <v>1217</v>
      </c>
      <c r="B128" s="39" t="s">
        <v>1243</v>
      </c>
      <c r="C128" s="40" t="s">
        <v>1264</v>
      </c>
      <c r="D128" s="74" t="s">
        <v>1271</v>
      </c>
      <c r="E128" s="74" t="s">
        <v>1266</v>
      </c>
      <c r="F128" s="74" t="s">
        <v>1267</v>
      </c>
      <c r="G128" s="74" t="s">
        <v>1268</v>
      </c>
    </row>
    <row r="129" spans="1:7" x14ac:dyDescent="0.2">
      <c r="A129" s="40">
        <v>1218</v>
      </c>
      <c r="B129" s="39" t="s">
        <v>1243</v>
      </c>
      <c r="C129" s="40" t="s">
        <v>1264</v>
      </c>
      <c r="D129" s="74" t="s">
        <v>1271</v>
      </c>
      <c r="E129" s="74" t="s">
        <v>1266</v>
      </c>
      <c r="F129" s="74" t="s">
        <v>1267</v>
      </c>
      <c r="G129" s="74" t="s">
        <v>1268</v>
      </c>
    </row>
    <row r="130" spans="1:7" x14ac:dyDescent="0.2">
      <c r="A130" s="40">
        <v>1220</v>
      </c>
      <c r="B130" s="39" t="s">
        <v>1243</v>
      </c>
      <c r="C130" s="40" t="s">
        <v>1264</v>
      </c>
      <c r="D130" s="74" t="s">
        <v>1269</v>
      </c>
      <c r="E130" s="74" t="s">
        <v>1266</v>
      </c>
      <c r="F130" s="74" t="s">
        <v>1268</v>
      </c>
      <c r="G130" s="74" t="s">
        <v>1268</v>
      </c>
    </row>
    <row r="131" spans="1:7" x14ac:dyDescent="0.2">
      <c r="A131" s="40">
        <v>1221</v>
      </c>
      <c r="B131" s="39" t="s">
        <v>1270</v>
      </c>
      <c r="C131" s="40" t="s">
        <v>1264</v>
      </c>
      <c r="D131" s="74" t="s">
        <v>1271</v>
      </c>
      <c r="E131" s="74" t="s">
        <v>1266</v>
      </c>
      <c r="F131" s="74" t="s">
        <v>1267</v>
      </c>
      <c r="G131" s="74" t="s">
        <v>1268</v>
      </c>
    </row>
    <row r="132" spans="1:7" x14ac:dyDescent="0.2">
      <c r="A132" s="40">
        <v>1222</v>
      </c>
      <c r="B132" s="39" t="s">
        <v>1243</v>
      </c>
      <c r="C132" s="40" t="s">
        <v>1264</v>
      </c>
      <c r="D132" s="74" t="s">
        <v>1271</v>
      </c>
      <c r="E132" s="74" t="s">
        <v>1266</v>
      </c>
      <c r="F132" s="74" t="s">
        <v>1267</v>
      </c>
      <c r="G132" s="74" t="s">
        <v>1268</v>
      </c>
    </row>
    <row r="133" spans="1:7" x14ac:dyDescent="0.2">
      <c r="A133" s="40">
        <v>1223</v>
      </c>
      <c r="B133" s="39" t="s">
        <v>1243</v>
      </c>
      <c r="C133" s="40" t="s">
        <v>1264</v>
      </c>
      <c r="D133" s="74" t="s">
        <v>1271</v>
      </c>
      <c r="E133" s="74" t="s">
        <v>1266</v>
      </c>
      <c r="F133" s="74" t="s">
        <v>1267</v>
      </c>
      <c r="G133" s="74" t="s">
        <v>1268</v>
      </c>
    </row>
    <row r="134" spans="1:7" x14ac:dyDescent="0.2">
      <c r="A134" s="40">
        <v>1224</v>
      </c>
      <c r="B134" s="39" t="s">
        <v>1243</v>
      </c>
      <c r="C134" s="40" t="s">
        <v>1264</v>
      </c>
      <c r="D134" s="74" t="s">
        <v>1271</v>
      </c>
      <c r="E134" s="74" t="s">
        <v>1266</v>
      </c>
      <c r="F134" s="74" t="s">
        <v>1267</v>
      </c>
      <c r="G134" s="74" t="s">
        <v>1268</v>
      </c>
    </row>
    <row r="135" spans="1:7" x14ac:dyDescent="0.2">
      <c r="A135" s="40">
        <v>1225</v>
      </c>
      <c r="B135" s="39" t="s">
        <v>1243</v>
      </c>
      <c r="C135" s="40" t="s">
        <v>1264</v>
      </c>
      <c r="D135" s="74" t="s">
        <v>1271</v>
      </c>
      <c r="E135" s="74" t="s">
        <v>1266</v>
      </c>
      <c r="F135" s="74" t="s">
        <v>1267</v>
      </c>
      <c r="G135" s="74" t="s">
        <v>1268</v>
      </c>
    </row>
    <row r="136" spans="1:7" x14ac:dyDescent="0.2">
      <c r="A136" s="40">
        <v>1226</v>
      </c>
      <c r="B136" s="39" t="s">
        <v>1243</v>
      </c>
      <c r="C136" s="40" t="s">
        <v>1264</v>
      </c>
      <c r="D136" s="74" t="s">
        <v>1271</v>
      </c>
      <c r="E136" s="74" t="s">
        <v>1266</v>
      </c>
      <c r="F136" s="74" t="s">
        <v>1267</v>
      </c>
      <c r="G136" s="74" t="s">
        <v>1268</v>
      </c>
    </row>
    <row r="137" spans="1:7" x14ac:dyDescent="0.2">
      <c r="A137" s="40">
        <v>1228</v>
      </c>
      <c r="B137" s="39" t="s">
        <v>1243</v>
      </c>
      <c r="C137" s="40" t="s">
        <v>1264</v>
      </c>
      <c r="D137" s="74" t="s">
        <v>1271</v>
      </c>
      <c r="E137" s="74" t="s">
        <v>1266</v>
      </c>
      <c r="F137" s="74" t="s">
        <v>1267</v>
      </c>
      <c r="G137" s="74" t="s">
        <v>1268</v>
      </c>
    </row>
    <row r="138" spans="1:7" x14ac:dyDescent="0.2">
      <c r="A138" s="40">
        <v>1229</v>
      </c>
      <c r="B138" s="39" t="s">
        <v>1243</v>
      </c>
      <c r="C138" s="40" t="s">
        <v>1264</v>
      </c>
      <c r="D138" s="74" t="s">
        <v>1271</v>
      </c>
      <c r="E138" s="74" t="s">
        <v>1266</v>
      </c>
      <c r="F138" s="74" t="s">
        <v>1267</v>
      </c>
      <c r="G138" s="74" t="s">
        <v>1268</v>
      </c>
    </row>
    <row r="139" spans="1:7" x14ac:dyDescent="0.2">
      <c r="A139" s="40">
        <v>1230</v>
      </c>
      <c r="B139" s="39" t="s">
        <v>1243</v>
      </c>
      <c r="C139" s="40" t="s">
        <v>1264</v>
      </c>
      <c r="D139" s="74" t="s">
        <v>1269</v>
      </c>
      <c r="E139" s="74" t="s">
        <v>1266</v>
      </c>
      <c r="F139" s="74" t="s">
        <v>1268</v>
      </c>
      <c r="G139" s="74" t="s">
        <v>1268</v>
      </c>
    </row>
    <row r="140" spans="1:7" x14ac:dyDescent="0.2">
      <c r="A140" s="40">
        <v>1231</v>
      </c>
      <c r="B140" s="39" t="s">
        <v>1270</v>
      </c>
      <c r="C140" s="40" t="s">
        <v>1264</v>
      </c>
      <c r="D140" s="74" t="s">
        <v>1271</v>
      </c>
      <c r="E140" s="74" t="s">
        <v>1266</v>
      </c>
      <c r="F140" s="74" t="s">
        <v>1267</v>
      </c>
      <c r="G140" s="74" t="s">
        <v>1268</v>
      </c>
    </row>
    <row r="141" spans="1:7" x14ac:dyDescent="0.2">
      <c r="A141" s="40">
        <v>1232</v>
      </c>
      <c r="B141" s="39" t="s">
        <v>1243</v>
      </c>
      <c r="C141" s="40" t="s">
        <v>1264</v>
      </c>
      <c r="D141" s="74" t="s">
        <v>1271</v>
      </c>
      <c r="E141" s="74" t="s">
        <v>1266</v>
      </c>
      <c r="F141" s="74" t="s">
        <v>1267</v>
      </c>
      <c r="G141" s="74" t="s">
        <v>1268</v>
      </c>
    </row>
    <row r="142" spans="1:7" x14ac:dyDescent="0.2">
      <c r="A142" s="40">
        <v>1233</v>
      </c>
      <c r="B142" s="39" t="s">
        <v>1243</v>
      </c>
      <c r="C142" s="40" t="s">
        <v>1264</v>
      </c>
      <c r="D142" s="74" t="s">
        <v>1271</v>
      </c>
      <c r="E142" s="74" t="s">
        <v>1266</v>
      </c>
      <c r="F142" s="74" t="s">
        <v>1267</v>
      </c>
      <c r="G142" s="74" t="s">
        <v>1268</v>
      </c>
    </row>
    <row r="143" spans="1:7" x14ac:dyDescent="0.2">
      <c r="A143" s="40">
        <v>1234</v>
      </c>
      <c r="B143" s="39" t="s">
        <v>1243</v>
      </c>
      <c r="C143" s="40" t="s">
        <v>1264</v>
      </c>
      <c r="D143" s="74" t="s">
        <v>1271</v>
      </c>
      <c r="E143" s="74" t="s">
        <v>1266</v>
      </c>
      <c r="F143" s="74" t="s">
        <v>1267</v>
      </c>
      <c r="G143" s="74" t="s">
        <v>1268</v>
      </c>
    </row>
    <row r="144" spans="1:7" x14ac:dyDescent="0.2">
      <c r="A144" s="40">
        <v>1235</v>
      </c>
      <c r="B144" s="39" t="s">
        <v>1243</v>
      </c>
      <c r="C144" s="40" t="s">
        <v>1264</v>
      </c>
      <c r="D144" s="74" t="s">
        <v>1271</v>
      </c>
      <c r="E144" s="74" t="s">
        <v>1266</v>
      </c>
      <c r="F144" s="74" t="s">
        <v>1267</v>
      </c>
      <c r="G144" s="74" t="s">
        <v>1268</v>
      </c>
    </row>
    <row r="145" spans="1:7" x14ac:dyDescent="0.2">
      <c r="A145" s="40">
        <v>1236</v>
      </c>
      <c r="B145" s="39" t="s">
        <v>1243</v>
      </c>
      <c r="C145" s="40" t="s">
        <v>1264</v>
      </c>
      <c r="D145" s="74" t="s">
        <v>1271</v>
      </c>
      <c r="E145" s="74" t="s">
        <v>1266</v>
      </c>
      <c r="F145" s="74" t="s">
        <v>1267</v>
      </c>
      <c r="G145" s="74" t="s">
        <v>1268</v>
      </c>
    </row>
    <row r="146" spans="1:7" x14ac:dyDescent="0.2">
      <c r="A146" s="40">
        <v>1238</v>
      </c>
      <c r="B146" s="39" t="s">
        <v>1243</v>
      </c>
      <c r="C146" s="40" t="s">
        <v>1264</v>
      </c>
      <c r="D146" s="74" t="s">
        <v>1271</v>
      </c>
      <c r="E146" s="74" t="s">
        <v>1266</v>
      </c>
      <c r="F146" s="74" t="s">
        <v>1267</v>
      </c>
      <c r="G146" s="74" t="s">
        <v>1268</v>
      </c>
    </row>
    <row r="147" spans="1:7" x14ac:dyDescent="0.2">
      <c r="A147" s="40">
        <v>1239</v>
      </c>
      <c r="B147" s="39" t="s">
        <v>1243</v>
      </c>
      <c r="C147" s="40" t="s">
        <v>1264</v>
      </c>
      <c r="D147" s="74" t="s">
        <v>1271</v>
      </c>
      <c r="E147" s="74" t="s">
        <v>1266</v>
      </c>
      <c r="F147" s="74" t="s">
        <v>1267</v>
      </c>
      <c r="G147" s="74" t="s">
        <v>1268</v>
      </c>
    </row>
    <row r="148" spans="1:7" x14ac:dyDescent="0.2">
      <c r="A148" s="40">
        <v>1300</v>
      </c>
      <c r="B148" s="39" t="s">
        <v>1274</v>
      </c>
      <c r="C148" s="40" t="s">
        <v>1264</v>
      </c>
      <c r="D148" s="74" t="s">
        <v>1269</v>
      </c>
      <c r="E148" s="74" t="s">
        <v>1266</v>
      </c>
      <c r="F148" s="74" t="s">
        <v>1268</v>
      </c>
      <c r="G148" s="74" t="s">
        <v>1268</v>
      </c>
    </row>
    <row r="149" spans="1:7" x14ac:dyDescent="0.2">
      <c r="A149" s="40">
        <v>1400</v>
      </c>
      <c r="B149" s="39" t="s">
        <v>1275</v>
      </c>
      <c r="C149" s="40" t="s">
        <v>1264</v>
      </c>
      <c r="D149" s="74" t="s">
        <v>1271</v>
      </c>
      <c r="E149" s="74" t="s">
        <v>1266</v>
      </c>
      <c r="F149" s="74" t="s">
        <v>1267</v>
      </c>
      <c r="G149" s="74" t="s">
        <v>1268</v>
      </c>
    </row>
    <row r="150" spans="1:7" x14ac:dyDescent="0.2">
      <c r="A150" s="40">
        <v>1402</v>
      </c>
      <c r="B150" s="39" t="s">
        <v>1243</v>
      </c>
      <c r="C150" s="40" t="s">
        <v>1264</v>
      </c>
      <c r="D150" s="74" t="s">
        <v>1271</v>
      </c>
      <c r="E150" s="74" t="s">
        <v>1266</v>
      </c>
      <c r="F150" s="74" t="s">
        <v>1267</v>
      </c>
      <c r="G150" s="74" t="s">
        <v>1268</v>
      </c>
    </row>
    <row r="151" spans="1:7" x14ac:dyDescent="0.2">
      <c r="A151" s="40">
        <v>1423</v>
      </c>
      <c r="B151" s="39" t="s">
        <v>1243</v>
      </c>
      <c r="C151" s="40" t="s">
        <v>1264</v>
      </c>
      <c r="D151" s="74" t="s">
        <v>1271</v>
      </c>
      <c r="E151" s="74" t="s">
        <v>1266</v>
      </c>
      <c r="F151" s="74" t="s">
        <v>1267</v>
      </c>
      <c r="G151" s="74" t="s">
        <v>1268</v>
      </c>
    </row>
    <row r="152" spans="1:7" x14ac:dyDescent="0.2">
      <c r="A152" s="40">
        <v>1500</v>
      </c>
      <c r="B152" s="39" t="s">
        <v>1276</v>
      </c>
      <c r="C152" s="40" t="s">
        <v>1264</v>
      </c>
      <c r="D152" s="74" t="s">
        <v>1277</v>
      </c>
      <c r="E152" s="74" t="s">
        <v>1266</v>
      </c>
      <c r="F152" s="74" t="s">
        <v>1267</v>
      </c>
      <c r="G152" s="74" t="s">
        <v>1268</v>
      </c>
    </row>
    <row r="153" spans="1:7" x14ac:dyDescent="0.2">
      <c r="A153" s="40">
        <v>1502</v>
      </c>
      <c r="B153" s="39" t="s">
        <v>1278</v>
      </c>
      <c r="C153" s="40" t="s">
        <v>1264</v>
      </c>
      <c r="D153" s="74" t="s">
        <v>1277</v>
      </c>
      <c r="E153" s="74" t="s">
        <v>1266</v>
      </c>
      <c r="F153" s="74" t="s">
        <v>1267</v>
      </c>
      <c r="G153" s="74" t="s">
        <v>1268</v>
      </c>
    </row>
    <row r="154" spans="1:7" x14ac:dyDescent="0.2">
      <c r="A154" s="40">
        <v>1503</v>
      </c>
      <c r="B154" s="39" t="s">
        <v>1279</v>
      </c>
      <c r="C154" s="40" t="s">
        <v>1264</v>
      </c>
      <c r="D154" s="74" t="s">
        <v>1277</v>
      </c>
      <c r="E154" s="74" t="s">
        <v>1266</v>
      </c>
      <c r="F154" s="74" t="s">
        <v>1267</v>
      </c>
      <c r="G154" s="74" t="s">
        <v>1268</v>
      </c>
    </row>
    <row r="155" spans="1:7" x14ac:dyDescent="0.2">
      <c r="A155" s="40">
        <v>1600</v>
      </c>
      <c r="B155" s="39" t="s">
        <v>1243</v>
      </c>
      <c r="C155" s="40" t="s">
        <v>1264</v>
      </c>
      <c r="D155" s="74" t="s">
        <v>1265</v>
      </c>
      <c r="E155" s="74" t="s">
        <v>1266</v>
      </c>
      <c r="F155" s="74" t="s">
        <v>1267</v>
      </c>
      <c r="G155" s="74" t="s">
        <v>1268</v>
      </c>
    </row>
    <row r="156" spans="1:7" x14ac:dyDescent="0.2">
      <c r="A156" s="40">
        <v>2000</v>
      </c>
      <c r="B156" s="39" t="s">
        <v>1280</v>
      </c>
      <c r="C156" s="40" t="s">
        <v>1281</v>
      </c>
      <c r="D156" s="74" t="s">
        <v>1269</v>
      </c>
      <c r="E156" s="74" t="s">
        <v>1266</v>
      </c>
      <c r="F156" s="74" t="s">
        <v>1268</v>
      </c>
      <c r="G156" s="74" t="s">
        <v>1268</v>
      </c>
    </row>
    <row r="157" spans="1:7" x14ac:dyDescent="0.2">
      <c r="A157" s="40">
        <v>2002</v>
      </c>
      <c r="B157" s="39" t="s">
        <v>1282</v>
      </c>
      <c r="C157" s="40" t="s">
        <v>1281</v>
      </c>
      <c r="D157" s="74" t="s">
        <v>1269</v>
      </c>
      <c r="E157" s="74" t="s">
        <v>1266</v>
      </c>
      <c r="F157" s="74" t="s">
        <v>1268</v>
      </c>
      <c r="G157" s="74" t="s">
        <v>1267</v>
      </c>
    </row>
    <row r="158" spans="1:7" x14ac:dyDescent="0.2">
      <c r="A158" s="40">
        <v>2003</v>
      </c>
      <c r="B158" s="39" t="s">
        <v>1283</v>
      </c>
      <c r="C158" s="40" t="s">
        <v>1281</v>
      </c>
      <c r="D158" s="74" t="s">
        <v>1269</v>
      </c>
      <c r="E158" s="74" t="s">
        <v>1266</v>
      </c>
      <c r="F158" s="74" t="s">
        <v>1268</v>
      </c>
      <c r="G158" s="74" t="s">
        <v>1267</v>
      </c>
    </row>
    <row r="159" spans="1:7" x14ac:dyDescent="0.2">
      <c r="A159" s="40">
        <v>2004</v>
      </c>
      <c r="B159" s="39" t="s">
        <v>1284</v>
      </c>
      <c r="C159" s="40" t="s">
        <v>1281</v>
      </c>
      <c r="D159" s="74" t="s">
        <v>1269</v>
      </c>
      <c r="E159" s="74" t="s">
        <v>1266</v>
      </c>
      <c r="F159" s="74" t="s">
        <v>1268</v>
      </c>
      <c r="G159" s="74" t="s">
        <v>1267</v>
      </c>
    </row>
    <row r="160" spans="1:7" x14ac:dyDescent="0.2">
      <c r="A160" s="40">
        <v>2011</v>
      </c>
      <c r="B160" s="39" t="s">
        <v>1285</v>
      </c>
      <c r="C160" s="40" t="s">
        <v>1281</v>
      </c>
      <c r="D160" s="74" t="s">
        <v>1269</v>
      </c>
      <c r="E160" s="74" t="s">
        <v>1266</v>
      </c>
      <c r="F160" s="74" t="s">
        <v>1268</v>
      </c>
      <c r="G160" s="74" t="s">
        <v>1267</v>
      </c>
    </row>
    <row r="161" spans="1:7" x14ac:dyDescent="0.2">
      <c r="A161" s="40">
        <v>2013</v>
      </c>
      <c r="B161" s="39" t="s">
        <v>1286</v>
      </c>
      <c r="C161" s="40" t="s">
        <v>1281</v>
      </c>
      <c r="D161" s="74" t="s">
        <v>1269</v>
      </c>
      <c r="E161" s="74" t="s">
        <v>1266</v>
      </c>
      <c r="F161" s="74" t="s">
        <v>1268</v>
      </c>
      <c r="G161" s="74" t="s">
        <v>1267</v>
      </c>
    </row>
    <row r="162" spans="1:7" x14ac:dyDescent="0.2">
      <c r="A162" s="40">
        <v>2014</v>
      </c>
      <c r="B162" s="39" t="s">
        <v>1287</v>
      </c>
      <c r="C162" s="40" t="s">
        <v>1281</v>
      </c>
      <c r="D162" s="74" t="s">
        <v>1269</v>
      </c>
      <c r="E162" s="74" t="s">
        <v>1266</v>
      </c>
      <c r="F162" s="74" t="s">
        <v>1268</v>
      </c>
      <c r="G162" s="74" t="s">
        <v>1267</v>
      </c>
    </row>
    <row r="163" spans="1:7" x14ac:dyDescent="0.2">
      <c r="A163" s="40">
        <v>2020</v>
      </c>
      <c r="B163" s="39" t="s">
        <v>1288</v>
      </c>
      <c r="C163" s="40" t="s">
        <v>1281</v>
      </c>
      <c r="D163" s="74" t="s">
        <v>1269</v>
      </c>
      <c r="E163" s="74" t="s">
        <v>1266</v>
      </c>
      <c r="F163" s="74" t="s">
        <v>1268</v>
      </c>
      <c r="G163" s="74" t="s">
        <v>1268</v>
      </c>
    </row>
    <row r="164" spans="1:7" x14ac:dyDescent="0.2">
      <c r="A164" s="40">
        <v>2022</v>
      </c>
      <c r="B164" s="39" t="s">
        <v>1289</v>
      </c>
      <c r="C164" s="40" t="s">
        <v>1281</v>
      </c>
      <c r="D164" s="74" t="s">
        <v>1269</v>
      </c>
      <c r="E164" s="74" t="s">
        <v>1266</v>
      </c>
      <c r="F164" s="74" t="s">
        <v>1268</v>
      </c>
      <c r="G164" s="74" t="s">
        <v>1267</v>
      </c>
    </row>
    <row r="165" spans="1:7" x14ac:dyDescent="0.2">
      <c r="A165" s="40">
        <v>2023</v>
      </c>
      <c r="B165" s="39" t="s">
        <v>1290</v>
      </c>
      <c r="C165" s="40" t="s">
        <v>1281</v>
      </c>
      <c r="D165" s="74" t="s">
        <v>1269</v>
      </c>
      <c r="E165" s="74" t="s">
        <v>1266</v>
      </c>
      <c r="F165" s="74" t="s">
        <v>1268</v>
      </c>
      <c r="G165" s="74" t="s">
        <v>1268</v>
      </c>
    </row>
    <row r="166" spans="1:7" x14ac:dyDescent="0.2">
      <c r="A166" s="40">
        <v>2024</v>
      </c>
      <c r="B166" s="39" t="s">
        <v>1291</v>
      </c>
      <c r="C166" s="40" t="s">
        <v>1281</v>
      </c>
      <c r="D166" s="74" t="s">
        <v>1269</v>
      </c>
      <c r="E166" s="74" t="s">
        <v>1266</v>
      </c>
      <c r="F166" s="74" t="s">
        <v>1268</v>
      </c>
      <c r="G166" s="74" t="s">
        <v>1267</v>
      </c>
    </row>
    <row r="167" spans="1:7" x14ac:dyDescent="0.2">
      <c r="A167" s="40">
        <v>2031</v>
      </c>
      <c r="B167" s="39" t="s">
        <v>1292</v>
      </c>
      <c r="C167" s="40" t="s">
        <v>1281</v>
      </c>
      <c r="D167" s="74" t="s">
        <v>1269</v>
      </c>
      <c r="E167" s="74" t="s">
        <v>1266</v>
      </c>
      <c r="F167" s="74" t="s">
        <v>1268</v>
      </c>
      <c r="G167" s="74" t="s">
        <v>1267</v>
      </c>
    </row>
    <row r="168" spans="1:7" x14ac:dyDescent="0.2">
      <c r="A168" s="40">
        <v>2032</v>
      </c>
      <c r="B168" s="39" t="s">
        <v>1293</v>
      </c>
      <c r="C168" s="40" t="s">
        <v>1281</v>
      </c>
      <c r="D168" s="74" t="s">
        <v>1269</v>
      </c>
      <c r="E168" s="74" t="s">
        <v>1266</v>
      </c>
      <c r="F168" s="74" t="s">
        <v>1268</v>
      </c>
      <c r="G168" s="74" t="s">
        <v>1267</v>
      </c>
    </row>
    <row r="169" spans="1:7" x14ac:dyDescent="0.2">
      <c r="A169" s="40">
        <v>2033</v>
      </c>
      <c r="B169" s="39" t="s">
        <v>1294</v>
      </c>
      <c r="C169" s="40" t="s">
        <v>1281</v>
      </c>
      <c r="D169" s="74" t="s">
        <v>1269</v>
      </c>
      <c r="E169" s="74" t="s">
        <v>1266</v>
      </c>
      <c r="F169" s="74" t="s">
        <v>1268</v>
      </c>
      <c r="G169" s="74" t="s">
        <v>1267</v>
      </c>
    </row>
    <row r="170" spans="1:7" x14ac:dyDescent="0.2">
      <c r="A170" s="40">
        <v>2034</v>
      </c>
      <c r="B170" s="39" t="s">
        <v>1295</v>
      </c>
      <c r="C170" s="40" t="s">
        <v>1281</v>
      </c>
      <c r="D170" s="74" t="s">
        <v>1269</v>
      </c>
      <c r="E170" s="74" t="s">
        <v>1266</v>
      </c>
      <c r="F170" s="74" t="s">
        <v>1268</v>
      </c>
      <c r="G170" s="74" t="s">
        <v>1268</v>
      </c>
    </row>
    <row r="171" spans="1:7" x14ac:dyDescent="0.2">
      <c r="A171" s="40">
        <v>2041</v>
      </c>
      <c r="B171" s="39" t="s">
        <v>1296</v>
      </c>
      <c r="C171" s="40" t="s">
        <v>1281</v>
      </c>
      <c r="D171" s="74" t="s">
        <v>1269</v>
      </c>
      <c r="E171" s="74" t="s">
        <v>1266</v>
      </c>
      <c r="F171" s="74" t="s">
        <v>1268</v>
      </c>
      <c r="G171" s="74" t="s">
        <v>1268</v>
      </c>
    </row>
    <row r="172" spans="1:7" x14ac:dyDescent="0.2">
      <c r="A172" s="40">
        <v>2042</v>
      </c>
      <c r="B172" s="39" t="s">
        <v>1297</v>
      </c>
      <c r="C172" s="40" t="s">
        <v>1281</v>
      </c>
      <c r="D172" s="74" t="s">
        <v>1269</v>
      </c>
      <c r="E172" s="74" t="s">
        <v>1266</v>
      </c>
      <c r="F172" s="74" t="s">
        <v>1268</v>
      </c>
      <c r="G172" s="74" t="s">
        <v>1267</v>
      </c>
    </row>
    <row r="173" spans="1:7" x14ac:dyDescent="0.2">
      <c r="A173" s="40">
        <v>2051</v>
      </c>
      <c r="B173" s="39" t="s">
        <v>1298</v>
      </c>
      <c r="C173" s="40" t="s">
        <v>1281</v>
      </c>
      <c r="D173" s="74" t="s">
        <v>1269</v>
      </c>
      <c r="E173" s="74" t="s">
        <v>1266</v>
      </c>
      <c r="F173" s="74" t="s">
        <v>1268</v>
      </c>
      <c r="G173" s="74" t="s">
        <v>1268</v>
      </c>
    </row>
    <row r="174" spans="1:7" x14ac:dyDescent="0.2">
      <c r="A174" s="40">
        <v>2052</v>
      </c>
      <c r="B174" s="39" t="s">
        <v>1299</v>
      </c>
      <c r="C174" s="40" t="s">
        <v>1281</v>
      </c>
      <c r="D174" s="74" t="s">
        <v>1269</v>
      </c>
      <c r="E174" s="74" t="s">
        <v>1266</v>
      </c>
      <c r="F174" s="74" t="s">
        <v>1268</v>
      </c>
      <c r="G174" s="74" t="s">
        <v>1267</v>
      </c>
    </row>
    <row r="175" spans="1:7" x14ac:dyDescent="0.2">
      <c r="A175" s="40">
        <v>2053</v>
      </c>
      <c r="B175" s="39" t="s">
        <v>1300</v>
      </c>
      <c r="C175" s="40" t="s">
        <v>1281</v>
      </c>
      <c r="D175" s="74" t="s">
        <v>1269</v>
      </c>
      <c r="E175" s="74" t="s">
        <v>1266</v>
      </c>
      <c r="F175" s="74" t="s">
        <v>1268</v>
      </c>
      <c r="G175" s="74" t="s">
        <v>1267</v>
      </c>
    </row>
    <row r="176" spans="1:7" x14ac:dyDescent="0.2">
      <c r="A176" s="40">
        <v>2054</v>
      </c>
      <c r="B176" s="39" t="s">
        <v>1301</v>
      </c>
      <c r="C176" s="40" t="s">
        <v>1281</v>
      </c>
      <c r="D176" s="74" t="s">
        <v>1269</v>
      </c>
      <c r="E176" s="74" t="s">
        <v>1266</v>
      </c>
      <c r="F176" s="74" t="s">
        <v>1268</v>
      </c>
      <c r="G176" s="74" t="s">
        <v>1268</v>
      </c>
    </row>
    <row r="177" spans="1:7" x14ac:dyDescent="0.2">
      <c r="A177" s="40">
        <v>2061</v>
      </c>
      <c r="B177" s="39" t="s">
        <v>1302</v>
      </c>
      <c r="C177" s="40" t="s">
        <v>1281</v>
      </c>
      <c r="D177" s="74" t="s">
        <v>1269</v>
      </c>
      <c r="E177" s="74" t="s">
        <v>1266</v>
      </c>
      <c r="F177" s="74" t="s">
        <v>1268</v>
      </c>
      <c r="G177" s="74" t="s">
        <v>1268</v>
      </c>
    </row>
    <row r="178" spans="1:7" x14ac:dyDescent="0.2">
      <c r="A178" s="40">
        <v>2062</v>
      </c>
      <c r="B178" s="39" t="s">
        <v>1303</v>
      </c>
      <c r="C178" s="40" t="s">
        <v>1281</v>
      </c>
      <c r="D178" s="74" t="s">
        <v>1269</v>
      </c>
      <c r="E178" s="74" t="s">
        <v>1266</v>
      </c>
      <c r="F178" s="74" t="s">
        <v>1268</v>
      </c>
      <c r="G178" s="74" t="s">
        <v>1267</v>
      </c>
    </row>
    <row r="179" spans="1:7" x14ac:dyDescent="0.2">
      <c r="A179" s="40">
        <v>2063</v>
      </c>
      <c r="B179" s="39" t="s">
        <v>1304</v>
      </c>
      <c r="C179" s="40" t="s">
        <v>1281</v>
      </c>
      <c r="D179" s="74" t="s">
        <v>1269</v>
      </c>
      <c r="E179" s="74" t="s">
        <v>1266</v>
      </c>
      <c r="F179" s="74" t="s">
        <v>1268</v>
      </c>
      <c r="G179" s="74" t="s">
        <v>1267</v>
      </c>
    </row>
    <row r="180" spans="1:7" x14ac:dyDescent="0.2">
      <c r="A180" s="40">
        <v>2064</v>
      </c>
      <c r="B180" s="39" t="s">
        <v>1305</v>
      </c>
      <c r="C180" s="40" t="s">
        <v>1281</v>
      </c>
      <c r="D180" s="74" t="s">
        <v>1269</v>
      </c>
      <c r="E180" s="74" t="s">
        <v>1266</v>
      </c>
      <c r="F180" s="74" t="s">
        <v>1268</v>
      </c>
      <c r="G180" s="74" t="s">
        <v>1267</v>
      </c>
    </row>
    <row r="181" spans="1:7" x14ac:dyDescent="0.2">
      <c r="A181" s="40">
        <v>2070</v>
      </c>
      <c r="B181" s="39" t="s">
        <v>1306</v>
      </c>
      <c r="C181" s="40" t="s">
        <v>1281</v>
      </c>
      <c r="D181" s="74" t="s">
        <v>1269</v>
      </c>
      <c r="E181" s="74" t="s">
        <v>1266</v>
      </c>
      <c r="F181" s="74" t="s">
        <v>1268</v>
      </c>
      <c r="G181" s="74" t="s">
        <v>1268</v>
      </c>
    </row>
    <row r="182" spans="1:7" x14ac:dyDescent="0.2">
      <c r="A182" s="40">
        <v>2073</v>
      </c>
      <c r="B182" s="39" t="s">
        <v>1307</v>
      </c>
      <c r="C182" s="40" t="s">
        <v>1281</v>
      </c>
      <c r="D182" s="74" t="s">
        <v>1269</v>
      </c>
      <c r="E182" s="74" t="s">
        <v>1266</v>
      </c>
      <c r="F182" s="74" t="s">
        <v>1268</v>
      </c>
      <c r="G182" s="74" t="s">
        <v>1267</v>
      </c>
    </row>
    <row r="183" spans="1:7" x14ac:dyDescent="0.2">
      <c r="A183" s="40">
        <v>2074</v>
      </c>
      <c r="B183" s="39" t="s">
        <v>1308</v>
      </c>
      <c r="C183" s="40" t="s">
        <v>1281</v>
      </c>
      <c r="D183" s="74" t="s">
        <v>1269</v>
      </c>
      <c r="E183" s="74" t="s">
        <v>1266</v>
      </c>
      <c r="F183" s="74" t="s">
        <v>1268</v>
      </c>
      <c r="G183" s="74" t="s">
        <v>1267</v>
      </c>
    </row>
    <row r="184" spans="1:7" x14ac:dyDescent="0.2">
      <c r="A184" s="40">
        <v>2081</v>
      </c>
      <c r="B184" s="39" t="s">
        <v>1309</v>
      </c>
      <c r="C184" s="40" t="s">
        <v>1281</v>
      </c>
      <c r="D184" s="74" t="s">
        <v>1269</v>
      </c>
      <c r="E184" s="74" t="s">
        <v>1266</v>
      </c>
      <c r="F184" s="74" t="s">
        <v>1268</v>
      </c>
      <c r="G184" s="74" t="s">
        <v>1267</v>
      </c>
    </row>
    <row r="185" spans="1:7" x14ac:dyDescent="0.2">
      <c r="A185" s="40">
        <v>2082</v>
      </c>
      <c r="B185" s="39" t="s">
        <v>1310</v>
      </c>
      <c r="C185" s="40" t="s">
        <v>1281</v>
      </c>
      <c r="D185" s="74" t="s">
        <v>1269</v>
      </c>
      <c r="E185" s="74" t="s">
        <v>1266</v>
      </c>
      <c r="F185" s="74" t="s">
        <v>1268</v>
      </c>
      <c r="G185" s="74" t="s">
        <v>1267</v>
      </c>
    </row>
    <row r="186" spans="1:7" x14ac:dyDescent="0.2">
      <c r="A186" s="40">
        <v>2083</v>
      </c>
      <c r="B186" s="39" t="s">
        <v>1311</v>
      </c>
      <c r="C186" s="40" t="s">
        <v>1281</v>
      </c>
      <c r="D186" s="74" t="s">
        <v>1269</v>
      </c>
      <c r="E186" s="74" t="s">
        <v>1266</v>
      </c>
      <c r="F186" s="74" t="s">
        <v>1268</v>
      </c>
      <c r="G186" s="74" t="s">
        <v>1267</v>
      </c>
    </row>
    <row r="187" spans="1:7" x14ac:dyDescent="0.2">
      <c r="A187" s="40">
        <v>2084</v>
      </c>
      <c r="B187" s="39" t="s">
        <v>1312</v>
      </c>
      <c r="C187" s="40" t="s">
        <v>1281</v>
      </c>
      <c r="D187" s="74" t="s">
        <v>1269</v>
      </c>
      <c r="E187" s="74" t="s">
        <v>1266</v>
      </c>
      <c r="F187" s="74" t="s">
        <v>1268</v>
      </c>
      <c r="G187" s="74" t="s">
        <v>1268</v>
      </c>
    </row>
    <row r="188" spans="1:7" x14ac:dyDescent="0.2">
      <c r="A188" s="40">
        <v>2091</v>
      </c>
      <c r="B188" s="39" t="s">
        <v>1313</v>
      </c>
      <c r="C188" s="40" t="s">
        <v>1281</v>
      </c>
      <c r="D188" s="74" t="s">
        <v>1269</v>
      </c>
      <c r="E188" s="74" t="s">
        <v>1266</v>
      </c>
      <c r="F188" s="74" t="s">
        <v>1268</v>
      </c>
      <c r="G188" s="74" t="s">
        <v>1267</v>
      </c>
    </row>
    <row r="189" spans="1:7" x14ac:dyDescent="0.2">
      <c r="A189" s="40">
        <v>2092</v>
      </c>
      <c r="B189" s="39" t="s">
        <v>1314</v>
      </c>
      <c r="C189" s="40" t="s">
        <v>1281</v>
      </c>
      <c r="D189" s="74" t="s">
        <v>1269</v>
      </c>
      <c r="E189" s="74" t="s">
        <v>1266</v>
      </c>
      <c r="F189" s="74" t="s">
        <v>1268</v>
      </c>
      <c r="G189" s="74" t="s">
        <v>1267</v>
      </c>
    </row>
    <row r="190" spans="1:7" x14ac:dyDescent="0.2">
      <c r="A190" s="40">
        <v>2093</v>
      </c>
      <c r="B190" s="39" t="s">
        <v>1315</v>
      </c>
      <c r="C190" s="40" t="s">
        <v>1281</v>
      </c>
      <c r="D190" s="74" t="s">
        <v>1269</v>
      </c>
      <c r="E190" s="74" t="s">
        <v>1266</v>
      </c>
      <c r="F190" s="74" t="s">
        <v>1268</v>
      </c>
      <c r="G190" s="74" t="s">
        <v>1268</v>
      </c>
    </row>
    <row r="191" spans="1:7" x14ac:dyDescent="0.2">
      <c r="A191" s="40">
        <v>2094</v>
      </c>
      <c r="B191" s="39" t="s">
        <v>1316</v>
      </c>
      <c r="C191" s="40" t="s">
        <v>1281</v>
      </c>
      <c r="D191" s="74" t="s">
        <v>1269</v>
      </c>
      <c r="E191" s="74" t="s">
        <v>1266</v>
      </c>
      <c r="F191" s="74" t="s">
        <v>1268</v>
      </c>
      <c r="G191" s="74" t="s">
        <v>1267</v>
      </c>
    </row>
    <row r="192" spans="1:7" x14ac:dyDescent="0.2">
      <c r="A192" s="40">
        <v>2095</v>
      </c>
      <c r="B192" s="39" t="s">
        <v>1317</v>
      </c>
      <c r="C192" s="40" t="s">
        <v>1281</v>
      </c>
      <c r="D192" s="74" t="s">
        <v>1269</v>
      </c>
      <c r="E192" s="74" t="s">
        <v>1266</v>
      </c>
      <c r="F192" s="74" t="s">
        <v>1268</v>
      </c>
      <c r="G192" s="74" t="s">
        <v>1267</v>
      </c>
    </row>
    <row r="193" spans="1:7" x14ac:dyDescent="0.2">
      <c r="A193" s="40">
        <v>2100</v>
      </c>
      <c r="B193" s="39" t="s">
        <v>1318</v>
      </c>
      <c r="C193" s="40" t="s">
        <v>1281</v>
      </c>
      <c r="D193" s="74" t="s">
        <v>1269</v>
      </c>
      <c r="E193" s="74" t="s">
        <v>1266</v>
      </c>
      <c r="F193" s="74" t="s">
        <v>1268</v>
      </c>
      <c r="G193" s="74" t="s">
        <v>1268</v>
      </c>
    </row>
    <row r="194" spans="1:7" x14ac:dyDescent="0.2">
      <c r="A194" s="40">
        <v>2102</v>
      </c>
      <c r="B194" s="39" t="s">
        <v>1319</v>
      </c>
      <c r="C194" s="40" t="s">
        <v>1281</v>
      </c>
      <c r="D194" s="74" t="s">
        <v>1269</v>
      </c>
      <c r="E194" s="74" t="s">
        <v>1266</v>
      </c>
      <c r="F194" s="74" t="s">
        <v>1268</v>
      </c>
      <c r="G194" s="74" t="s">
        <v>1268</v>
      </c>
    </row>
    <row r="195" spans="1:7" x14ac:dyDescent="0.2">
      <c r="A195" s="40">
        <v>2103</v>
      </c>
      <c r="B195" s="39" t="s">
        <v>1320</v>
      </c>
      <c r="C195" s="40" t="s">
        <v>1281</v>
      </c>
      <c r="D195" s="74" t="s">
        <v>1269</v>
      </c>
      <c r="E195" s="74" t="s">
        <v>1266</v>
      </c>
      <c r="F195" s="74" t="s">
        <v>1268</v>
      </c>
      <c r="G195" s="74" t="s">
        <v>1268</v>
      </c>
    </row>
    <row r="196" spans="1:7" x14ac:dyDescent="0.2">
      <c r="A196" s="40">
        <v>2104</v>
      </c>
      <c r="B196" s="39" t="s">
        <v>1321</v>
      </c>
      <c r="C196" s="40" t="s">
        <v>1281</v>
      </c>
      <c r="D196" s="74" t="s">
        <v>1269</v>
      </c>
      <c r="E196" s="74" t="s">
        <v>1266</v>
      </c>
      <c r="F196" s="74" t="s">
        <v>1268</v>
      </c>
      <c r="G196" s="74" t="s">
        <v>1268</v>
      </c>
    </row>
    <row r="197" spans="1:7" x14ac:dyDescent="0.2">
      <c r="A197" s="40">
        <v>2105</v>
      </c>
      <c r="B197" s="39" t="s">
        <v>1322</v>
      </c>
      <c r="C197" s="40" t="s">
        <v>1281</v>
      </c>
      <c r="D197" s="74" t="s">
        <v>1269</v>
      </c>
      <c r="E197" s="74" t="s">
        <v>1266</v>
      </c>
      <c r="F197" s="74" t="s">
        <v>1268</v>
      </c>
      <c r="G197" s="74" t="s">
        <v>1267</v>
      </c>
    </row>
    <row r="198" spans="1:7" x14ac:dyDescent="0.2">
      <c r="A198" s="40">
        <v>2111</v>
      </c>
      <c r="B198" s="39" t="s">
        <v>1323</v>
      </c>
      <c r="C198" s="40" t="s">
        <v>1281</v>
      </c>
      <c r="D198" s="74" t="s">
        <v>1269</v>
      </c>
      <c r="E198" s="74" t="s">
        <v>1266</v>
      </c>
      <c r="F198" s="74" t="s">
        <v>1268</v>
      </c>
      <c r="G198" s="74" t="s">
        <v>1267</v>
      </c>
    </row>
    <row r="199" spans="1:7" x14ac:dyDescent="0.2">
      <c r="A199" s="40">
        <v>2112</v>
      </c>
      <c r="B199" s="39" t="s">
        <v>1324</v>
      </c>
      <c r="C199" s="40" t="s">
        <v>1281</v>
      </c>
      <c r="D199" s="74" t="s">
        <v>1269</v>
      </c>
      <c r="E199" s="74" t="s">
        <v>1266</v>
      </c>
      <c r="F199" s="74" t="s">
        <v>1268</v>
      </c>
      <c r="G199" s="74" t="s">
        <v>1267</v>
      </c>
    </row>
    <row r="200" spans="1:7" x14ac:dyDescent="0.2">
      <c r="A200" s="40">
        <v>2113</v>
      </c>
      <c r="B200" s="39" t="s">
        <v>1325</v>
      </c>
      <c r="C200" s="40" t="s">
        <v>1281</v>
      </c>
      <c r="D200" s="74" t="s">
        <v>1269</v>
      </c>
      <c r="E200" s="74" t="s">
        <v>1266</v>
      </c>
      <c r="F200" s="74" t="s">
        <v>1268</v>
      </c>
      <c r="G200" s="74" t="s">
        <v>1267</v>
      </c>
    </row>
    <row r="201" spans="1:7" x14ac:dyDescent="0.2">
      <c r="A201" s="40">
        <v>2114</v>
      </c>
      <c r="B201" s="39" t="s">
        <v>1326</v>
      </c>
      <c r="C201" s="40" t="s">
        <v>1281</v>
      </c>
      <c r="D201" s="74" t="s">
        <v>1269</v>
      </c>
      <c r="E201" s="74" t="s">
        <v>1266</v>
      </c>
      <c r="F201" s="74" t="s">
        <v>1268</v>
      </c>
      <c r="G201" s="74" t="s">
        <v>1267</v>
      </c>
    </row>
    <row r="202" spans="1:7" x14ac:dyDescent="0.2">
      <c r="A202" s="40">
        <v>2115</v>
      </c>
      <c r="B202" s="39" t="s">
        <v>1327</v>
      </c>
      <c r="C202" s="40" t="s">
        <v>1281</v>
      </c>
      <c r="D202" s="74" t="s">
        <v>1269</v>
      </c>
      <c r="E202" s="74" t="s">
        <v>1266</v>
      </c>
      <c r="F202" s="74" t="s">
        <v>1268</v>
      </c>
      <c r="G202" s="74" t="s">
        <v>1268</v>
      </c>
    </row>
    <row r="203" spans="1:7" x14ac:dyDescent="0.2">
      <c r="A203" s="40">
        <v>2116</v>
      </c>
      <c r="B203" s="39" t="s">
        <v>1328</v>
      </c>
      <c r="C203" s="40" t="s">
        <v>1281</v>
      </c>
      <c r="D203" s="74" t="s">
        <v>1269</v>
      </c>
      <c r="E203" s="74" t="s">
        <v>1266</v>
      </c>
      <c r="F203" s="74" t="s">
        <v>1268</v>
      </c>
      <c r="G203" s="74" t="s">
        <v>1267</v>
      </c>
    </row>
    <row r="204" spans="1:7" x14ac:dyDescent="0.2">
      <c r="A204" s="40">
        <v>2120</v>
      </c>
      <c r="B204" s="39" t="s">
        <v>1329</v>
      </c>
      <c r="C204" s="40" t="s">
        <v>1281</v>
      </c>
      <c r="D204" s="74" t="s">
        <v>1269</v>
      </c>
      <c r="E204" s="74" t="s">
        <v>1266</v>
      </c>
      <c r="F204" s="74" t="s">
        <v>1268</v>
      </c>
      <c r="G204" s="74" t="s">
        <v>1268</v>
      </c>
    </row>
    <row r="205" spans="1:7" x14ac:dyDescent="0.2">
      <c r="A205" s="40">
        <v>2122</v>
      </c>
      <c r="B205" s="39" t="s">
        <v>1330</v>
      </c>
      <c r="C205" s="40" t="s">
        <v>1281</v>
      </c>
      <c r="D205" s="74" t="s">
        <v>1269</v>
      </c>
      <c r="E205" s="74" t="s">
        <v>1266</v>
      </c>
      <c r="F205" s="74" t="s">
        <v>1268</v>
      </c>
      <c r="G205" s="74" t="s">
        <v>1268</v>
      </c>
    </row>
    <row r="206" spans="1:7" x14ac:dyDescent="0.2">
      <c r="A206" s="40">
        <v>2123</v>
      </c>
      <c r="B206" s="39" t="s">
        <v>1331</v>
      </c>
      <c r="C206" s="40" t="s">
        <v>1281</v>
      </c>
      <c r="D206" s="74" t="s">
        <v>1269</v>
      </c>
      <c r="E206" s="74" t="s">
        <v>1266</v>
      </c>
      <c r="F206" s="74" t="s">
        <v>1268</v>
      </c>
      <c r="G206" s="74" t="s">
        <v>1267</v>
      </c>
    </row>
    <row r="207" spans="1:7" x14ac:dyDescent="0.2">
      <c r="A207" s="40">
        <v>2124</v>
      </c>
      <c r="B207" s="39" t="s">
        <v>1332</v>
      </c>
      <c r="C207" s="40" t="s">
        <v>1281</v>
      </c>
      <c r="D207" s="74" t="s">
        <v>1269</v>
      </c>
      <c r="E207" s="74" t="s">
        <v>1266</v>
      </c>
      <c r="F207" s="74" t="s">
        <v>1268</v>
      </c>
      <c r="G207" s="74" t="s">
        <v>1268</v>
      </c>
    </row>
    <row r="208" spans="1:7" x14ac:dyDescent="0.2">
      <c r="A208" s="40">
        <v>2125</v>
      </c>
      <c r="B208" s="39" t="s">
        <v>1333</v>
      </c>
      <c r="C208" s="40" t="s">
        <v>1281</v>
      </c>
      <c r="D208" s="74" t="s">
        <v>1269</v>
      </c>
      <c r="E208" s="74" t="s">
        <v>1266</v>
      </c>
      <c r="F208" s="74" t="s">
        <v>1268</v>
      </c>
      <c r="G208" s="74" t="s">
        <v>1267</v>
      </c>
    </row>
    <row r="209" spans="1:7" x14ac:dyDescent="0.2">
      <c r="A209" s="40">
        <v>2126</v>
      </c>
      <c r="B209" s="39" t="s">
        <v>1334</v>
      </c>
      <c r="C209" s="40" t="s">
        <v>1281</v>
      </c>
      <c r="D209" s="74" t="s">
        <v>1269</v>
      </c>
      <c r="E209" s="74" t="s">
        <v>1266</v>
      </c>
      <c r="F209" s="74" t="s">
        <v>1268</v>
      </c>
      <c r="G209" s="74" t="s">
        <v>1267</v>
      </c>
    </row>
    <row r="210" spans="1:7" x14ac:dyDescent="0.2">
      <c r="A210" s="40">
        <v>2130</v>
      </c>
      <c r="B210" s="39" t="s">
        <v>1335</v>
      </c>
      <c r="C210" s="40" t="s">
        <v>1281</v>
      </c>
      <c r="D210" s="74" t="s">
        <v>1269</v>
      </c>
      <c r="E210" s="74" t="s">
        <v>1266</v>
      </c>
      <c r="F210" s="74" t="s">
        <v>1268</v>
      </c>
      <c r="G210" s="74" t="s">
        <v>1268</v>
      </c>
    </row>
    <row r="211" spans="1:7" x14ac:dyDescent="0.2">
      <c r="A211" s="40">
        <v>2132</v>
      </c>
      <c r="B211" s="39" t="s">
        <v>1336</v>
      </c>
      <c r="C211" s="40" t="s">
        <v>1281</v>
      </c>
      <c r="D211" s="74" t="s">
        <v>1269</v>
      </c>
      <c r="E211" s="74" t="s">
        <v>1266</v>
      </c>
      <c r="F211" s="74" t="s">
        <v>1268</v>
      </c>
      <c r="G211" s="74" t="s">
        <v>1267</v>
      </c>
    </row>
    <row r="212" spans="1:7" x14ac:dyDescent="0.2">
      <c r="A212" s="40">
        <v>2133</v>
      </c>
      <c r="B212" s="39" t="s">
        <v>1337</v>
      </c>
      <c r="C212" s="40" t="s">
        <v>1281</v>
      </c>
      <c r="D212" s="74" t="s">
        <v>1269</v>
      </c>
      <c r="E212" s="74" t="s">
        <v>1266</v>
      </c>
      <c r="F212" s="74" t="s">
        <v>1268</v>
      </c>
      <c r="G212" s="74" t="s">
        <v>1267</v>
      </c>
    </row>
    <row r="213" spans="1:7" x14ac:dyDescent="0.2">
      <c r="A213" s="40">
        <v>2134</v>
      </c>
      <c r="B213" s="39" t="s">
        <v>1338</v>
      </c>
      <c r="C213" s="40" t="s">
        <v>1281</v>
      </c>
      <c r="D213" s="74" t="s">
        <v>1269</v>
      </c>
      <c r="E213" s="74" t="s">
        <v>1266</v>
      </c>
      <c r="F213" s="74" t="s">
        <v>1268</v>
      </c>
      <c r="G213" s="74" t="s">
        <v>1267</v>
      </c>
    </row>
    <row r="214" spans="1:7" x14ac:dyDescent="0.2">
      <c r="A214" s="40">
        <v>2135</v>
      </c>
      <c r="B214" s="39" t="s">
        <v>1339</v>
      </c>
      <c r="C214" s="40" t="s">
        <v>1281</v>
      </c>
      <c r="D214" s="74" t="s">
        <v>1269</v>
      </c>
      <c r="E214" s="74" t="s">
        <v>1266</v>
      </c>
      <c r="F214" s="74" t="s">
        <v>1268</v>
      </c>
      <c r="G214" s="74" t="s">
        <v>1267</v>
      </c>
    </row>
    <row r="215" spans="1:7" x14ac:dyDescent="0.2">
      <c r="A215" s="40">
        <v>2136</v>
      </c>
      <c r="B215" s="39" t="s">
        <v>1340</v>
      </c>
      <c r="C215" s="40" t="s">
        <v>1281</v>
      </c>
      <c r="D215" s="74" t="s">
        <v>1269</v>
      </c>
      <c r="E215" s="74" t="s">
        <v>1266</v>
      </c>
      <c r="F215" s="74" t="s">
        <v>1268</v>
      </c>
      <c r="G215" s="74" t="s">
        <v>1268</v>
      </c>
    </row>
    <row r="216" spans="1:7" x14ac:dyDescent="0.2">
      <c r="A216" s="40">
        <v>2141</v>
      </c>
      <c r="B216" s="39" t="s">
        <v>1341</v>
      </c>
      <c r="C216" s="40" t="s">
        <v>1281</v>
      </c>
      <c r="D216" s="74" t="s">
        <v>1269</v>
      </c>
      <c r="E216" s="74" t="s">
        <v>1266</v>
      </c>
      <c r="F216" s="74" t="s">
        <v>1268</v>
      </c>
      <c r="G216" s="74" t="s">
        <v>1268</v>
      </c>
    </row>
    <row r="217" spans="1:7" x14ac:dyDescent="0.2">
      <c r="A217" s="40">
        <v>2143</v>
      </c>
      <c r="B217" s="39" t="s">
        <v>1342</v>
      </c>
      <c r="C217" s="40" t="s">
        <v>1281</v>
      </c>
      <c r="D217" s="74" t="s">
        <v>1269</v>
      </c>
      <c r="E217" s="74" t="s">
        <v>1266</v>
      </c>
      <c r="F217" s="74" t="s">
        <v>1268</v>
      </c>
      <c r="G217" s="74" t="s">
        <v>1267</v>
      </c>
    </row>
    <row r="218" spans="1:7" x14ac:dyDescent="0.2">
      <c r="A218" s="40">
        <v>2144</v>
      </c>
      <c r="B218" s="39" t="s">
        <v>1343</v>
      </c>
      <c r="C218" s="40" t="s">
        <v>1281</v>
      </c>
      <c r="D218" s="74" t="s">
        <v>1269</v>
      </c>
      <c r="E218" s="74" t="s">
        <v>1266</v>
      </c>
      <c r="F218" s="74" t="s">
        <v>1268</v>
      </c>
      <c r="G218" s="74" t="s">
        <v>1267</v>
      </c>
    </row>
    <row r="219" spans="1:7" x14ac:dyDescent="0.2">
      <c r="A219" s="40">
        <v>2145</v>
      </c>
      <c r="B219" s="39" t="s">
        <v>1344</v>
      </c>
      <c r="C219" s="40" t="s">
        <v>1281</v>
      </c>
      <c r="D219" s="74" t="s">
        <v>1269</v>
      </c>
      <c r="E219" s="74" t="s">
        <v>1266</v>
      </c>
      <c r="F219" s="74" t="s">
        <v>1268</v>
      </c>
      <c r="G219" s="74" t="s">
        <v>1268</v>
      </c>
    </row>
    <row r="220" spans="1:7" x14ac:dyDescent="0.2">
      <c r="A220" s="40">
        <v>2151</v>
      </c>
      <c r="B220" s="39" t="s">
        <v>1345</v>
      </c>
      <c r="C220" s="40" t="s">
        <v>1281</v>
      </c>
      <c r="D220" s="74" t="s">
        <v>1269</v>
      </c>
      <c r="E220" s="74" t="s">
        <v>1266</v>
      </c>
      <c r="F220" s="74" t="s">
        <v>1268</v>
      </c>
      <c r="G220" s="74" t="s">
        <v>1267</v>
      </c>
    </row>
    <row r="221" spans="1:7" x14ac:dyDescent="0.2">
      <c r="A221" s="40">
        <v>2152</v>
      </c>
      <c r="B221" s="39" t="s">
        <v>1346</v>
      </c>
      <c r="C221" s="40" t="s">
        <v>1281</v>
      </c>
      <c r="D221" s="74" t="s">
        <v>1269</v>
      </c>
      <c r="E221" s="74" t="s">
        <v>1266</v>
      </c>
      <c r="F221" s="74" t="s">
        <v>1268</v>
      </c>
      <c r="G221" s="74" t="s">
        <v>1268</v>
      </c>
    </row>
    <row r="222" spans="1:7" x14ac:dyDescent="0.2">
      <c r="A222" s="40">
        <v>2153</v>
      </c>
      <c r="B222" s="39" t="s">
        <v>1347</v>
      </c>
      <c r="C222" s="40" t="s">
        <v>1281</v>
      </c>
      <c r="D222" s="74" t="s">
        <v>1269</v>
      </c>
      <c r="E222" s="74" t="s">
        <v>1266</v>
      </c>
      <c r="F222" s="74" t="s">
        <v>1268</v>
      </c>
      <c r="G222" s="74" t="s">
        <v>1267</v>
      </c>
    </row>
    <row r="223" spans="1:7" x14ac:dyDescent="0.2">
      <c r="A223" s="40">
        <v>2154</v>
      </c>
      <c r="B223" s="39" t="s">
        <v>1348</v>
      </c>
      <c r="C223" s="40" t="s">
        <v>1281</v>
      </c>
      <c r="D223" s="74" t="s">
        <v>1269</v>
      </c>
      <c r="E223" s="74" t="s">
        <v>1266</v>
      </c>
      <c r="F223" s="74" t="s">
        <v>1268</v>
      </c>
      <c r="G223" s="74" t="s">
        <v>1267</v>
      </c>
    </row>
    <row r="224" spans="1:7" x14ac:dyDescent="0.2">
      <c r="A224" s="40">
        <v>2161</v>
      </c>
      <c r="B224" s="39" t="s">
        <v>1349</v>
      </c>
      <c r="C224" s="40" t="s">
        <v>1281</v>
      </c>
      <c r="D224" s="74" t="s">
        <v>1269</v>
      </c>
      <c r="E224" s="74" t="s">
        <v>1266</v>
      </c>
      <c r="F224" s="74" t="s">
        <v>1268</v>
      </c>
      <c r="G224" s="74" t="s">
        <v>1268</v>
      </c>
    </row>
    <row r="225" spans="1:7" x14ac:dyDescent="0.2">
      <c r="A225" s="40">
        <v>2162</v>
      </c>
      <c r="B225" s="39" t="s">
        <v>1350</v>
      </c>
      <c r="C225" s="40" t="s">
        <v>1281</v>
      </c>
      <c r="D225" s="74" t="s">
        <v>1269</v>
      </c>
      <c r="E225" s="74" t="s">
        <v>1266</v>
      </c>
      <c r="F225" s="74" t="s">
        <v>1268</v>
      </c>
      <c r="G225" s="74" t="s">
        <v>1267</v>
      </c>
    </row>
    <row r="226" spans="1:7" x14ac:dyDescent="0.2">
      <c r="A226" s="40">
        <v>2163</v>
      </c>
      <c r="B226" s="39" t="s">
        <v>1351</v>
      </c>
      <c r="C226" s="40" t="s">
        <v>1281</v>
      </c>
      <c r="D226" s="74" t="s">
        <v>1269</v>
      </c>
      <c r="E226" s="74" t="s">
        <v>1266</v>
      </c>
      <c r="F226" s="74" t="s">
        <v>1268</v>
      </c>
      <c r="G226" s="74" t="s">
        <v>1268</v>
      </c>
    </row>
    <row r="227" spans="1:7" x14ac:dyDescent="0.2">
      <c r="A227" s="40">
        <v>2164</v>
      </c>
      <c r="B227" s="39" t="s">
        <v>1352</v>
      </c>
      <c r="C227" s="40" t="s">
        <v>1281</v>
      </c>
      <c r="D227" s="74" t="s">
        <v>1269</v>
      </c>
      <c r="E227" s="74" t="s">
        <v>1266</v>
      </c>
      <c r="F227" s="74" t="s">
        <v>1268</v>
      </c>
      <c r="G227" s="74" t="s">
        <v>1267</v>
      </c>
    </row>
    <row r="228" spans="1:7" x14ac:dyDescent="0.2">
      <c r="A228" s="40">
        <v>2165</v>
      </c>
      <c r="B228" s="39" t="s">
        <v>1353</v>
      </c>
      <c r="C228" s="40" t="s">
        <v>1281</v>
      </c>
      <c r="D228" s="74" t="s">
        <v>1269</v>
      </c>
      <c r="E228" s="74" t="s">
        <v>1266</v>
      </c>
      <c r="F228" s="74" t="s">
        <v>1268</v>
      </c>
      <c r="G228" s="74" t="s">
        <v>1267</v>
      </c>
    </row>
    <row r="229" spans="1:7" x14ac:dyDescent="0.2">
      <c r="A229" s="40">
        <v>2170</v>
      </c>
      <c r="B229" s="39" t="s">
        <v>1354</v>
      </c>
      <c r="C229" s="40" t="s">
        <v>1281</v>
      </c>
      <c r="D229" s="74" t="s">
        <v>1269</v>
      </c>
      <c r="E229" s="74" t="s">
        <v>1266</v>
      </c>
      <c r="F229" s="74" t="s">
        <v>1268</v>
      </c>
      <c r="G229" s="74" t="s">
        <v>1268</v>
      </c>
    </row>
    <row r="230" spans="1:7" x14ac:dyDescent="0.2">
      <c r="A230" s="40">
        <v>2171</v>
      </c>
      <c r="B230" s="39" t="s">
        <v>1355</v>
      </c>
      <c r="C230" s="40" t="s">
        <v>1281</v>
      </c>
      <c r="D230" s="74" t="s">
        <v>1269</v>
      </c>
      <c r="E230" s="74" t="s">
        <v>1266</v>
      </c>
      <c r="F230" s="74" t="s">
        <v>1268</v>
      </c>
      <c r="G230" s="74" t="s">
        <v>1267</v>
      </c>
    </row>
    <row r="231" spans="1:7" x14ac:dyDescent="0.2">
      <c r="A231" s="40">
        <v>2172</v>
      </c>
      <c r="B231" s="39" t="s">
        <v>1356</v>
      </c>
      <c r="C231" s="40" t="s">
        <v>1281</v>
      </c>
      <c r="D231" s="74" t="s">
        <v>1269</v>
      </c>
      <c r="E231" s="74" t="s">
        <v>1266</v>
      </c>
      <c r="F231" s="74" t="s">
        <v>1268</v>
      </c>
      <c r="G231" s="74" t="s">
        <v>1268</v>
      </c>
    </row>
    <row r="232" spans="1:7" x14ac:dyDescent="0.2">
      <c r="A232" s="40">
        <v>2181</v>
      </c>
      <c r="B232" s="39" t="s">
        <v>1357</v>
      </c>
      <c r="C232" s="40" t="s">
        <v>1281</v>
      </c>
      <c r="D232" s="74" t="s">
        <v>1269</v>
      </c>
      <c r="E232" s="74" t="s">
        <v>1266</v>
      </c>
      <c r="F232" s="74" t="s">
        <v>1268</v>
      </c>
      <c r="G232" s="74" t="s">
        <v>1267</v>
      </c>
    </row>
    <row r="233" spans="1:7" x14ac:dyDescent="0.2">
      <c r="A233" s="40">
        <v>2182</v>
      </c>
      <c r="B233" s="39" t="s">
        <v>1358</v>
      </c>
      <c r="C233" s="40" t="s">
        <v>1281</v>
      </c>
      <c r="D233" s="74" t="s">
        <v>1269</v>
      </c>
      <c r="E233" s="74" t="s">
        <v>1266</v>
      </c>
      <c r="F233" s="74" t="s">
        <v>1268</v>
      </c>
      <c r="G233" s="74" t="s">
        <v>1267</v>
      </c>
    </row>
    <row r="234" spans="1:7" x14ac:dyDescent="0.2">
      <c r="A234" s="40">
        <v>2183</v>
      </c>
      <c r="B234" s="39" t="s">
        <v>1359</v>
      </c>
      <c r="C234" s="40" t="s">
        <v>1281</v>
      </c>
      <c r="D234" s="74" t="s">
        <v>1269</v>
      </c>
      <c r="E234" s="74" t="s">
        <v>1266</v>
      </c>
      <c r="F234" s="74" t="s">
        <v>1268</v>
      </c>
      <c r="G234" s="74" t="s">
        <v>1267</v>
      </c>
    </row>
    <row r="235" spans="1:7" x14ac:dyDescent="0.2">
      <c r="A235" s="40">
        <v>2184</v>
      </c>
      <c r="B235" s="39" t="s">
        <v>1360</v>
      </c>
      <c r="C235" s="40" t="s">
        <v>1281</v>
      </c>
      <c r="D235" s="74" t="s">
        <v>1269</v>
      </c>
      <c r="E235" s="74" t="s">
        <v>1266</v>
      </c>
      <c r="F235" s="74" t="s">
        <v>1268</v>
      </c>
      <c r="G235" s="74" t="s">
        <v>1267</v>
      </c>
    </row>
    <row r="236" spans="1:7" x14ac:dyDescent="0.2">
      <c r="A236" s="40">
        <v>2185</v>
      </c>
      <c r="B236" s="39" t="s">
        <v>1361</v>
      </c>
      <c r="C236" s="40" t="s">
        <v>1281</v>
      </c>
      <c r="D236" s="74" t="s">
        <v>1269</v>
      </c>
      <c r="E236" s="74" t="s">
        <v>1266</v>
      </c>
      <c r="F236" s="74" t="s">
        <v>1268</v>
      </c>
      <c r="G236" s="74" t="s">
        <v>1267</v>
      </c>
    </row>
    <row r="237" spans="1:7" x14ac:dyDescent="0.2">
      <c r="A237" s="40">
        <v>2191</v>
      </c>
      <c r="B237" s="39" t="s">
        <v>1362</v>
      </c>
      <c r="C237" s="40" t="s">
        <v>1281</v>
      </c>
      <c r="D237" s="74" t="s">
        <v>1269</v>
      </c>
      <c r="E237" s="74" t="s">
        <v>1266</v>
      </c>
      <c r="F237" s="74" t="s">
        <v>1268</v>
      </c>
      <c r="G237" s="74" t="s">
        <v>1268</v>
      </c>
    </row>
    <row r="238" spans="1:7" x14ac:dyDescent="0.2">
      <c r="A238" s="40">
        <v>2192</v>
      </c>
      <c r="B238" s="39" t="s">
        <v>1363</v>
      </c>
      <c r="C238" s="40" t="s">
        <v>1281</v>
      </c>
      <c r="D238" s="74" t="s">
        <v>1269</v>
      </c>
      <c r="E238" s="74" t="s">
        <v>1266</v>
      </c>
      <c r="F238" s="74" t="s">
        <v>1268</v>
      </c>
      <c r="G238" s="74" t="s">
        <v>1267</v>
      </c>
    </row>
    <row r="239" spans="1:7" x14ac:dyDescent="0.2">
      <c r="A239" s="40">
        <v>2193</v>
      </c>
      <c r="B239" s="39" t="s">
        <v>1364</v>
      </c>
      <c r="C239" s="40" t="s">
        <v>1281</v>
      </c>
      <c r="D239" s="74" t="s">
        <v>1269</v>
      </c>
      <c r="E239" s="74" t="s">
        <v>1266</v>
      </c>
      <c r="F239" s="74" t="s">
        <v>1268</v>
      </c>
      <c r="G239" s="74" t="s">
        <v>1267</v>
      </c>
    </row>
    <row r="240" spans="1:7" x14ac:dyDescent="0.2">
      <c r="A240" s="40">
        <v>2201</v>
      </c>
      <c r="B240" s="39" t="s">
        <v>1365</v>
      </c>
      <c r="C240" s="40" t="s">
        <v>1281</v>
      </c>
      <c r="D240" s="74" t="s">
        <v>1269</v>
      </c>
      <c r="E240" s="74" t="s">
        <v>1266</v>
      </c>
      <c r="F240" s="74" t="s">
        <v>1268</v>
      </c>
      <c r="G240" s="74" t="s">
        <v>1268</v>
      </c>
    </row>
    <row r="241" spans="1:7" x14ac:dyDescent="0.2">
      <c r="A241" s="40">
        <v>2202</v>
      </c>
      <c r="B241" s="39" t="s">
        <v>1366</v>
      </c>
      <c r="C241" s="40" t="s">
        <v>1281</v>
      </c>
      <c r="D241" s="74" t="s">
        <v>1269</v>
      </c>
      <c r="E241" s="74" t="s">
        <v>1266</v>
      </c>
      <c r="F241" s="74" t="s">
        <v>1268</v>
      </c>
      <c r="G241" s="74" t="s">
        <v>1268</v>
      </c>
    </row>
    <row r="242" spans="1:7" x14ac:dyDescent="0.2">
      <c r="A242" s="40">
        <v>2203</v>
      </c>
      <c r="B242" s="39" t="s">
        <v>1367</v>
      </c>
      <c r="C242" s="40" t="s">
        <v>1281</v>
      </c>
      <c r="D242" s="74" t="s">
        <v>1269</v>
      </c>
      <c r="E242" s="74" t="s">
        <v>1266</v>
      </c>
      <c r="F242" s="74" t="s">
        <v>1268</v>
      </c>
      <c r="G242" s="74" t="s">
        <v>1268</v>
      </c>
    </row>
    <row r="243" spans="1:7" x14ac:dyDescent="0.2">
      <c r="A243" s="40">
        <v>2211</v>
      </c>
      <c r="B243" s="39" t="s">
        <v>1368</v>
      </c>
      <c r="C243" s="40" t="s">
        <v>1281</v>
      </c>
      <c r="D243" s="74" t="s">
        <v>1269</v>
      </c>
      <c r="E243" s="74" t="s">
        <v>1266</v>
      </c>
      <c r="F243" s="74" t="s">
        <v>1268</v>
      </c>
      <c r="G243" s="74" t="s">
        <v>1267</v>
      </c>
    </row>
    <row r="244" spans="1:7" x14ac:dyDescent="0.2">
      <c r="A244" s="40">
        <v>2212</v>
      </c>
      <c r="B244" s="39" t="s">
        <v>1369</v>
      </c>
      <c r="C244" s="40" t="s">
        <v>1281</v>
      </c>
      <c r="D244" s="74" t="s">
        <v>1269</v>
      </c>
      <c r="E244" s="74" t="s">
        <v>1266</v>
      </c>
      <c r="F244" s="74" t="s">
        <v>1268</v>
      </c>
      <c r="G244" s="74" t="s">
        <v>1267</v>
      </c>
    </row>
    <row r="245" spans="1:7" x14ac:dyDescent="0.2">
      <c r="A245" s="40">
        <v>2213</v>
      </c>
      <c r="B245" s="39" t="s">
        <v>1370</v>
      </c>
      <c r="C245" s="40" t="s">
        <v>1281</v>
      </c>
      <c r="D245" s="74" t="s">
        <v>1269</v>
      </c>
      <c r="E245" s="74" t="s">
        <v>1266</v>
      </c>
      <c r="F245" s="74" t="s">
        <v>1268</v>
      </c>
      <c r="G245" s="74" t="s">
        <v>1268</v>
      </c>
    </row>
    <row r="246" spans="1:7" x14ac:dyDescent="0.2">
      <c r="A246" s="40">
        <v>2214</v>
      </c>
      <c r="B246" s="39" t="s">
        <v>1371</v>
      </c>
      <c r="C246" s="40" t="s">
        <v>1281</v>
      </c>
      <c r="D246" s="74" t="s">
        <v>1269</v>
      </c>
      <c r="E246" s="74" t="s">
        <v>1266</v>
      </c>
      <c r="F246" s="74" t="s">
        <v>1268</v>
      </c>
      <c r="G246" s="74" t="s">
        <v>1268</v>
      </c>
    </row>
    <row r="247" spans="1:7" x14ac:dyDescent="0.2">
      <c r="A247" s="40">
        <v>2215</v>
      </c>
      <c r="B247" s="39" t="s">
        <v>1372</v>
      </c>
      <c r="C247" s="40" t="s">
        <v>1281</v>
      </c>
      <c r="D247" s="74" t="s">
        <v>1269</v>
      </c>
      <c r="E247" s="74" t="s">
        <v>1266</v>
      </c>
      <c r="F247" s="74" t="s">
        <v>1268</v>
      </c>
      <c r="G247" s="74" t="s">
        <v>1267</v>
      </c>
    </row>
    <row r="248" spans="1:7" x14ac:dyDescent="0.2">
      <c r="A248" s="40">
        <v>2221</v>
      </c>
      <c r="B248" s="39" t="s">
        <v>1373</v>
      </c>
      <c r="C248" s="40" t="s">
        <v>1281</v>
      </c>
      <c r="D248" s="74" t="s">
        <v>1269</v>
      </c>
      <c r="E248" s="74" t="s">
        <v>1266</v>
      </c>
      <c r="F248" s="74" t="s">
        <v>1268</v>
      </c>
      <c r="G248" s="74" t="s">
        <v>1267</v>
      </c>
    </row>
    <row r="249" spans="1:7" x14ac:dyDescent="0.2">
      <c r="A249" s="40">
        <v>2222</v>
      </c>
      <c r="B249" s="39" t="s">
        <v>1374</v>
      </c>
      <c r="C249" s="40" t="s">
        <v>1281</v>
      </c>
      <c r="D249" s="74" t="s">
        <v>1269</v>
      </c>
      <c r="E249" s="74" t="s">
        <v>1266</v>
      </c>
      <c r="F249" s="74" t="s">
        <v>1268</v>
      </c>
      <c r="G249" s="74" t="s">
        <v>1267</v>
      </c>
    </row>
    <row r="250" spans="1:7" x14ac:dyDescent="0.2">
      <c r="A250" s="40">
        <v>2223</v>
      </c>
      <c r="B250" s="39" t="s">
        <v>1375</v>
      </c>
      <c r="C250" s="40" t="s">
        <v>1281</v>
      </c>
      <c r="D250" s="74" t="s">
        <v>1269</v>
      </c>
      <c r="E250" s="74" t="s">
        <v>1266</v>
      </c>
      <c r="F250" s="74" t="s">
        <v>1268</v>
      </c>
      <c r="G250" s="74" t="s">
        <v>1267</v>
      </c>
    </row>
    <row r="251" spans="1:7" x14ac:dyDescent="0.2">
      <c r="A251" s="40">
        <v>2224</v>
      </c>
      <c r="B251" s="39" t="s">
        <v>1376</v>
      </c>
      <c r="C251" s="40" t="s">
        <v>1281</v>
      </c>
      <c r="D251" s="74" t="s">
        <v>1269</v>
      </c>
      <c r="E251" s="74" t="s">
        <v>1266</v>
      </c>
      <c r="F251" s="74" t="s">
        <v>1268</v>
      </c>
      <c r="G251" s="74" t="s">
        <v>1267</v>
      </c>
    </row>
    <row r="252" spans="1:7" x14ac:dyDescent="0.2">
      <c r="A252" s="40">
        <v>2225</v>
      </c>
      <c r="B252" s="39" t="s">
        <v>1377</v>
      </c>
      <c r="C252" s="40" t="s">
        <v>1281</v>
      </c>
      <c r="D252" s="74" t="s">
        <v>1269</v>
      </c>
      <c r="E252" s="74" t="s">
        <v>1266</v>
      </c>
      <c r="F252" s="74" t="s">
        <v>1268</v>
      </c>
      <c r="G252" s="74" t="s">
        <v>1268</v>
      </c>
    </row>
    <row r="253" spans="1:7" x14ac:dyDescent="0.2">
      <c r="A253" s="40">
        <v>2230</v>
      </c>
      <c r="B253" s="39" t="s">
        <v>1378</v>
      </c>
      <c r="C253" s="40" t="s">
        <v>1281</v>
      </c>
      <c r="D253" s="74" t="s">
        <v>1269</v>
      </c>
      <c r="E253" s="74" t="s">
        <v>1266</v>
      </c>
      <c r="F253" s="74" t="s">
        <v>1268</v>
      </c>
      <c r="G253" s="74" t="s">
        <v>1268</v>
      </c>
    </row>
    <row r="254" spans="1:7" x14ac:dyDescent="0.2">
      <c r="A254" s="40">
        <v>2231</v>
      </c>
      <c r="B254" s="39" t="s">
        <v>1379</v>
      </c>
      <c r="C254" s="40" t="s">
        <v>1281</v>
      </c>
      <c r="D254" s="74" t="s">
        <v>1269</v>
      </c>
      <c r="E254" s="74" t="s">
        <v>1266</v>
      </c>
      <c r="F254" s="74" t="s">
        <v>1268</v>
      </c>
      <c r="G254" s="74" t="s">
        <v>1268</v>
      </c>
    </row>
    <row r="255" spans="1:7" x14ac:dyDescent="0.2">
      <c r="A255" s="40">
        <v>2232</v>
      </c>
      <c r="B255" s="39" t="s">
        <v>1380</v>
      </c>
      <c r="C255" s="40" t="s">
        <v>1281</v>
      </c>
      <c r="D255" s="74" t="s">
        <v>1269</v>
      </c>
      <c r="E255" s="74" t="s">
        <v>1266</v>
      </c>
      <c r="F255" s="74" t="s">
        <v>1268</v>
      </c>
      <c r="G255" s="74" t="s">
        <v>1268</v>
      </c>
    </row>
    <row r="256" spans="1:7" x14ac:dyDescent="0.2">
      <c r="A256" s="40">
        <v>2241</v>
      </c>
      <c r="B256" s="39" t="s">
        <v>1381</v>
      </c>
      <c r="C256" s="40" t="s">
        <v>1281</v>
      </c>
      <c r="D256" s="74" t="s">
        <v>1269</v>
      </c>
      <c r="E256" s="74" t="s">
        <v>1266</v>
      </c>
      <c r="F256" s="74" t="s">
        <v>1268</v>
      </c>
      <c r="G256" s="74" t="s">
        <v>1267</v>
      </c>
    </row>
    <row r="257" spans="1:7" x14ac:dyDescent="0.2">
      <c r="A257" s="40">
        <v>2242</v>
      </c>
      <c r="B257" s="39" t="s">
        <v>1382</v>
      </c>
      <c r="C257" s="40" t="s">
        <v>1281</v>
      </c>
      <c r="D257" s="74" t="s">
        <v>1269</v>
      </c>
      <c r="E257" s="74" t="s">
        <v>1266</v>
      </c>
      <c r="F257" s="74" t="s">
        <v>1268</v>
      </c>
      <c r="G257" s="74" t="s">
        <v>1268</v>
      </c>
    </row>
    <row r="258" spans="1:7" x14ac:dyDescent="0.2">
      <c r="A258" s="40">
        <v>2243</v>
      </c>
      <c r="B258" s="39" t="s">
        <v>1383</v>
      </c>
      <c r="C258" s="40" t="s">
        <v>1281</v>
      </c>
      <c r="D258" s="74" t="s">
        <v>1269</v>
      </c>
      <c r="E258" s="74" t="s">
        <v>1266</v>
      </c>
      <c r="F258" s="74" t="s">
        <v>1268</v>
      </c>
      <c r="G258" s="74" t="s">
        <v>1267</v>
      </c>
    </row>
    <row r="259" spans="1:7" x14ac:dyDescent="0.2">
      <c r="A259" s="40">
        <v>2244</v>
      </c>
      <c r="B259" s="39" t="s">
        <v>1384</v>
      </c>
      <c r="C259" s="40" t="s">
        <v>1281</v>
      </c>
      <c r="D259" s="74" t="s">
        <v>1269</v>
      </c>
      <c r="E259" s="74" t="s">
        <v>1266</v>
      </c>
      <c r="F259" s="74" t="s">
        <v>1268</v>
      </c>
      <c r="G259" s="74" t="s">
        <v>1267</v>
      </c>
    </row>
    <row r="260" spans="1:7" x14ac:dyDescent="0.2">
      <c r="A260" s="40">
        <v>2245</v>
      </c>
      <c r="B260" s="39" t="s">
        <v>1385</v>
      </c>
      <c r="C260" s="40" t="s">
        <v>1281</v>
      </c>
      <c r="D260" s="74" t="s">
        <v>1269</v>
      </c>
      <c r="E260" s="74" t="s">
        <v>1266</v>
      </c>
      <c r="F260" s="74" t="s">
        <v>1268</v>
      </c>
      <c r="G260" s="74" t="s">
        <v>1267</v>
      </c>
    </row>
    <row r="261" spans="1:7" x14ac:dyDescent="0.2">
      <c r="A261" s="40">
        <v>2251</v>
      </c>
      <c r="B261" s="39" t="s">
        <v>1386</v>
      </c>
      <c r="C261" s="40" t="s">
        <v>1281</v>
      </c>
      <c r="D261" s="74" t="s">
        <v>1269</v>
      </c>
      <c r="E261" s="74" t="s">
        <v>1266</v>
      </c>
      <c r="F261" s="74" t="s">
        <v>1268</v>
      </c>
      <c r="G261" s="74" t="s">
        <v>1267</v>
      </c>
    </row>
    <row r="262" spans="1:7" x14ac:dyDescent="0.2">
      <c r="A262" s="40">
        <v>2252</v>
      </c>
      <c r="B262" s="39" t="s">
        <v>1387</v>
      </c>
      <c r="C262" s="40" t="s">
        <v>1281</v>
      </c>
      <c r="D262" s="74" t="s">
        <v>1269</v>
      </c>
      <c r="E262" s="74" t="s">
        <v>1266</v>
      </c>
      <c r="F262" s="74" t="s">
        <v>1268</v>
      </c>
      <c r="G262" s="74" t="s">
        <v>1267</v>
      </c>
    </row>
    <row r="263" spans="1:7" x14ac:dyDescent="0.2">
      <c r="A263" s="40">
        <v>2253</v>
      </c>
      <c r="B263" s="39" t="s">
        <v>1388</v>
      </c>
      <c r="C263" s="40" t="s">
        <v>1281</v>
      </c>
      <c r="D263" s="74" t="s">
        <v>1269</v>
      </c>
      <c r="E263" s="74" t="s">
        <v>1266</v>
      </c>
      <c r="F263" s="74" t="s">
        <v>1268</v>
      </c>
      <c r="G263" s="74" t="s">
        <v>1267</v>
      </c>
    </row>
    <row r="264" spans="1:7" x14ac:dyDescent="0.2">
      <c r="A264" s="40">
        <v>2261</v>
      </c>
      <c r="B264" s="39" t="s">
        <v>1389</v>
      </c>
      <c r="C264" s="40" t="s">
        <v>1281</v>
      </c>
      <c r="D264" s="74" t="s">
        <v>1269</v>
      </c>
      <c r="E264" s="74" t="s">
        <v>1266</v>
      </c>
      <c r="F264" s="74" t="s">
        <v>1268</v>
      </c>
      <c r="G264" s="74" t="s">
        <v>1268</v>
      </c>
    </row>
    <row r="265" spans="1:7" x14ac:dyDescent="0.2">
      <c r="A265" s="40">
        <v>2262</v>
      </c>
      <c r="B265" s="39" t="s">
        <v>1390</v>
      </c>
      <c r="C265" s="40" t="s">
        <v>1281</v>
      </c>
      <c r="D265" s="74" t="s">
        <v>1269</v>
      </c>
      <c r="E265" s="74" t="s">
        <v>1266</v>
      </c>
      <c r="F265" s="74" t="s">
        <v>1268</v>
      </c>
      <c r="G265" s="74" t="s">
        <v>1267</v>
      </c>
    </row>
    <row r="266" spans="1:7" x14ac:dyDescent="0.2">
      <c r="A266" s="40">
        <v>2263</v>
      </c>
      <c r="B266" s="39" t="s">
        <v>1391</v>
      </c>
      <c r="C266" s="40" t="s">
        <v>1281</v>
      </c>
      <c r="D266" s="74" t="s">
        <v>1269</v>
      </c>
      <c r="E266" s="74" t="s">
        <v>1266</v>
      </c>
      <c r="F266" s="74" t="s">
        <v>1268</v>
      </c>
      <c r="G266" s="74" t="s">
        <v>1268</v>
      </c>
    </row>
    <row r="267" spans="1:7" x14ac:dyDescent="0.2">
      <c r="A267" s="40">
        <v>2264</v>
      </c>
      <c r="B267" s="39" t="s">
        <v>1392</v>
      </c>
      <c r="C267" s="40" t="s">
        <v>1281</v>
      </c>
      <c r="D267" s="74" t="s">
        <v>1269</v>
      </c>
      <c r="E267" s="74" t="s">
        <v>1266</v>
      </c>
      <c r="F267" s="74" t="s">
        <v>1268</v>
      </c>
      <c r="G267" s="74" t="s">
        <v>1267</v>
      </c>
    </row>
    <row r="268" spans="1:7" x14ac:dyDescent="0.2">
      <c r="A268" s="40">
        <v>2265</v>
      </c>
      <c r="B268" s="39" t="s">
        <v>1393</v>
      </c>
      <c r="C268" s="40" t="s">
        <v>1281</v>
      </c>
      <c r="D268" s="74" t="s">
        <v>1269</v>
      </c>
      <c r="E268" s="74" t="s">
        <v>1266</v>
      </c>
      <c r="F268" s="74" t="s">
        <v>1268</v>
      </c>
      <c r="G268" s="74" t="s">
        <v>1267</v>
      </c>
    </row>
    <row r="269" spans="1:7" x14ac:dyDescent="0.2">
      <c r="A269" s="40">
        <v>2272</v>
      </c>
      <c r="B269" s="39" t="s">
        <v>1394</v>
      </c>
      <c r="C269" s="40" t="s">
        <v>1281</v>
      </c>
      <c r="D269" s="74" t="s">
        <v>1269</v>
      </c>
      <c r="E269" s="74" t="s">
        <v>1266</v>
      </c>
      <c r="F269" s="74" t="s">
        <v>1268</v>
      </c>
      <c r="G269" s="74" t="s">
        <v>1267</v>
      </c>
    </row>
    <row r="270" spans="1:7" x14ac:dyDescent="0.2">
      <c r="A270" s="40">
        <v>2273</v>
      </c>
      <c r="B270" s="39" t="s">
        <v>1395</v>
      </c>
      <c r="C270" s="40" t="s">
        <v>1281</v>
      </c>
      <c r="D270" s="74" t="s">
        <v>1269</v>
      </c>
      <c r="E270" s="74" t="s">
        <v>1266</v>
      </c>
      <c r="F270" s="74" t="s">
        <v>1268</v>
      </c>
      <c r="G270" s="74" t="s">
        <v>1268</v>
      </c>
    </row>
    <row r="271" spans="1:7" x14ac:dyDescent="0.2">
      <c r="A271" s="40">
        <v>2274</v>
      </c>
      <c r="B271" s="39" t="s">
        <v>1396</v>
      </c>
      <c r="C271" s="40" t="s">
        <v>1281</v>
      </c>
      <c r="D271" s="74" t="s">
        <v>1269</v>
      </c>
      <c r="E271" s="74" t="s">
        <v>1266</v>
      </c>
      <c r="F271" s="74" t="s">
        <v>1268</v>
      </c>
      <c r="G271" s="74" t="s">
        <v>1268</v>
      </c>
    </row>
    <row r="272" spans="1:7" x14ac:dyDescent="0.2">
      <c r="A272" s="40">
        <v>2275</v>
      </c>
      <c r="B272" s="39" t="s">
        <v>1397</v>
      </c>
      <c r="C272" s="40" t="s">
        <v>1281</v>
      </c>
      <c r="D272" s="74" t="s">
        <v>1269</v>
      </c>
      <c r="E272" s="74" t="s">
        <v>1266</v>
      </c>
      <c r="F272" s="74" t="s">
        <v>1268</v>
      </c>
      <c r="G272" s="74" t="s">
        <v>1267</v>
      </c>
    </row>
    <row r="273" spans="1:7" x14ac:dyDescent="0.2">
      <c r="A273" s="40">
        <v>2276</v>
      </c>
      <c r="B273" s="39" t="s">
        <v>1398</v>
      </c>
      <c r="C273" s="40" t="s">
        <v>1281</v>
      </c>
      <c r="D273" s="74" t="s">
        <v>1269</v>
      </c>
      <c r="E273" s="74" t="s">
        <v>1266</v>
      </c>
      <c r="F273" s="74" t="s">
        <v>1268</v>
      </c>
      <c r="G273" s="74" t="s">
        <v>1267</v>
      </c>
    </row>
    <row r="274" spans="1:7" x14ac:dyDescent="0.2">
      <c r="A274" s="40">
        <v>2281</v>
      </c>
      <c r="B274" s="39" t="s">
        <v>1399</v>
      </c>
      <c r="C274" s="40" t="s">
        <v>1281</v>
      </c>
      <c r="D274" s="74" t="s">
        <v>1269</v>
      </c>
      <c r="E274" s="74" t="s">
        <v>1266</v>
      </c>
      <c r="F274" s="74" t="s">
        <v>1268</v>
      </c>
      <c r="G274" s="74" t="s">
        <v>1267</v>
      </c>
    </row>
    <row r="275" spans="1:7" x14ac:dyDescent="0.2">
      <c r="A275" s="40">
        <v>2282</v>
      </c>
      <c r="B275" s="39" t="s">
        <v>1400</v>
      </c>
      <c r="C275" s="40" t="s">
        <v>1281</v>
      </c>
      <c r="D275" s="74" t="s">
        <v>1269</v>
      </c>
      <c r="E275" s="74" t="s">
        <v>1266</v>
      </c>
      <c r="F275" s="74" t="s">
        <v>1268</v>
      </c>
      <c r="G275" s="74" t="s">
        <v>1267</v>
      </c>
    </row>
    <row r="276" spans="1:7" x14ac:dyDescent="0.2">
      <c r="A276" s="40">
        <v>2283</v>
      </c>
      <c r="B276" s="39" t="s">
        <v>1401</v>
      </c>
      <c r="C276" s="40" t="s">
        <v>1281</v>
      </c>
      <c r="D276" s="74" t="s">
        <v>1269</v>
      </c>
      <c r="E276" s="74" t="s">
        <v>1266</v>
      </c>
      <c r="F276" s="74" t="s">
        <v>1268</v>
      </c>
      <c r="G276" s="74" t="s">
        <v>1268</v>
      </c>
    </row>
    <row r="277" spans="1:7" x14ac:dyDescent="0.2">
      <c r="A277" s="40">
        <v>2284</v>
      </c>
      <c r="B277" s="39" t="s">
        <v>1402</v>
      </c>
      <c r="C277" s="40" t="s">
        <v>1281</v>
      </c>
      <c r="D277" s="74" t="s">
        <v>1269</v>
      </c>
      <c r="E277" s="74" t="s">
        <v>1266</v>
      </c>
      <c r="F277" s="74" t="s">
        <v>1268</v>
      </c>
      <c r="G277" s="74" t="s">
        <v>1267</v>
      </c>
    </row>
    <row r="278" spans="1:7" x14ac:dyDescent="0.2">
      <c r="A278" s="40">
        <v>2285</v>
      </c>
      <c r="B278" s="39" t="s">
        <v>1405</v>
      </c>
      <c r="C278" s="40" t="s">
        <v>1281</v>
      </c>
      <c r="D278" s="74" t="s">
        <v>1269</v>
      </c>
      <c r="E278" s="74" t="s">
        <v>1266</v>
      </c>
      <c r="F278" s="74" t="s">
        <v>1268</v>
      </c>
      <c r="G278" s="74" t="s">
        <v>1267</v>
      </c>
    </row>
    <row r="279" spans="1:7" x14ac:dyDescent="0.2">
      <c r="A279" s="40">
        <v>2286</v>
      </c>
      <c r="B279" s="39" t="s">
        <v>1406</v>
      </c>
      <c r="C279" s="40" t="s">
        <v>1281</v>
      </c>
      <c r="D279" s="74" t="s">
        <v>1269</v>
      </c>
      <c r="E279" s="74" t="s">
        <v>1266</v>
      </c>
      <c r="F279" s="74" t="s">
        <v>1268</v>
      </c>
      <c r="G279" s="74" t="s">
        <v>1267</v>
      </c>
    </row>
    <row r="280" spans="1:7" x14ac:dyDescent="0.2">
      <c r="A280" s="40">
        <v>2291</v>
      </c>
      <c r="B280" s="39" t="s">
        <v>1407</v>
      </c>
      <c r="C280" s="40" t="s">
        <v>1281</v>
      </c>
      <c r="D280" s="74" t="s">
        <v>1269</v>
      </c>
      <c r="E280" s="74" t="s">
        <v>1266</v>
      </c>
      <c r="F280" s="74" t="s">
        <v>1268</v>
      </c>
      <c r="G280" s="74" t="s">
        <v>1268</v>
      </c>
    </row>
    <row r="281" spans="1:7" x14ac:dyDescent="0.2">
      <c r="A281" s="40">
        <v>2292</v>
      </c>
      <c r="B281" s="39" t="s">
        <v>1408</v>
      </c>
      <c r="C281" s="40" t="s">
        <v>1281</v>
      </c>
      <c r="D281" s="74" t="s">
        <v>1269</v>
      </c>
      <c r="E281" s="74" t="s">
        <v>1266</v>
      </c>
      <c r="F281" s="74" t="s">
        <v>1268</v>
      </c>
      <c r="G281" s="74" t="s">
        <v>1267</v>
      </c>
    </row>
    <row r="282" spans="1:7" x14ac:dyDescent="0.2">
      <c r="A282" s="40">
        <v>2293</v>
      </c>
      <c r="B282" s="39" t="s">
        <v>1409</v>
      </c>
      <c r="C282" s="40" t="s">
        <v>1281</v>
      </c>
      <c r="D282" s="74" t="s">
        <v>1269</v>
      </c>
      <c r="E282" s="74" t="s">
        <v>1266</v>
      </c>
      <c r="F282" s="74" t="s">
        <v>1268</v>
      </c>
      <c r="G282" s="74" t="s">
        <v>1267</v>
      </c>
    </row>
    <row r="283" spans="1:7" x14ac:dyDescent="0.2">
      <c r="A283" s="40">
        <v>2294</v>
      </c>
      <c r="B283" s="39" t="s">
        <v>1410</v>
      </c>
      <c r="C283" s="40" t="s">
        <v>1281</v>
      </c>
      <c r="D283" s="74" t="s">
        <v>1269</v>
      </c>
      <c r="E283" s="74" t="s">
        <v>1266</v>
      </c>
      <c r="F283" s="74" t="s">
        <v>1268</v>
      </c>
      <c r="G283" s="74" t="s">
        <v>1268</v>
      </c>
    </row>
    <row r="284" spans="1:7" x14ac:dyDescent="0.2">
      <c r="A284" s="40">
        <v>2295</v>
      </c>
      <c r="B284" s="39" t="s">
        <v>1411</v>
      </c>
      <c r="C284" s="40" t="s">
        <v>1281</v>
      </c>
      <c r="D284" s="74" t="s">
        <v>1269</v>
      </c>
      <c r="E284" s="74" t="s">
        <v>1266</v>
      </c>
      <c r="F284" s="74" t="s">
        <v>1268</v>
      </c>
      <c r="G284" s="74" t="s">
        <v>1267</v>
      </c>
    </row>
    <row r="285" spans="1:7" x14ac:dyDescent="0.2">
      <c r="A285" s="40">
        <v>2301</v>
      </c>
      <c r="B285" s="39" t="s">
        <v>1412</v>
      </c>
      <c r="C285" s="40" t="s">
        <v>1281</v>
      </c>
      <c r="D285" s="74" t="s">
        <v>1269</v>
      </c>
      <c r="E285" s="74" t="s">
        <v>1266</v>
      </c>
      <c r="F285" s="74" t="s">
        <v>1268</v>
      </c>
      <c r="G285" s="74" t="s">
        <v>1268</v>
      </c>
    </row>
    <row r="286" spans="1:7" x14ac:dyDescent="0.2">
      <c r="A286" s="40">
        <v>2304</v>
      </c>
      <c r="B286" s="39" t="s">
        <v>1413</v>
      </c>
      <c r="C286" s="40" t="s">
        <v>1281</v>
      </c>
      <c r="D286" s="74" t="s">
        <v>1269</v>
      </c>
      <c r="E286" s="74" t="s">
        <v>1266</v>
      </c>
      <c r="F286" s="74" t="s">
        <v>1268</v>
      </c>
      <c r="G286" s="74" t="s">
        <v>1268</v>
      </c>
    </row>
    <row r="287" spans="1:7" x14ac:dyDescent="0.2">
      <c r="A287" s="40">
        <v>2305</v>
      </c>
      <c r="B287" s="39" t="s">
        <v>1414</v>
      </c>
      <c r="C287" s="40" t="s">
        <v>1281</v>
      </c>
      <c r="D287" s="74" t="s">
        <v>1269</v>
      </c>
      <c r="E287" s="74" t="s">
        <v>1266</v>
      </c>
      <c r="F287" s="74" t="s">
        <v>1268</v>
      </c>
      <c r="G287" s="74" t="s">
        <v>1267</v>
      </c>
    </row>
    <row r="288" spans="1:7" x14ac:dyDescent="0.2">
      <c r="A288" s="40">
        <v>2320</v>
      </c>
      <c r="B288" s="39" t="s">
        <v>1415</v>
      </c>
      <c r="C288" s="40" t="s">
        <v>1281</v>
      </c>
      <c r="D288" s="74" t="s">
        <v>1269</v>
      </c>
      <c r="E288" s="74" t="s">
        <v>1266</v>
      </c>
      <c r="F288" s="74" t="s">
        <v>1268</v>
      </c>
      <c r="G288" s="74" t="s">
        <v>1268</v>
      </c>
    </row>
    <row r="289" spans="1:7" x14ac:dyDescent="0.2">
      <c r="A289" s="40">
        <v>2322</v>
      </c>
      <c r="B289" s="39" t="s">
        <v>1416</v>
      </c>
      <c r="C289" s="40" t="s">
        <v>1281</v>
      </c>
      <c r="D289" s="74" t="s">
        <v>1269</v>
      </c>
      <c r="E289" s="74" t="s">
        <v>1266</v>
      </c>
      <c r="F289" s="74" t="s">
        <v>1268</v>
      </c>
      <c r="G289" s="74" t="s">
        <v>1267</v>
      </c>
    </row>
    <row r="290" spans="1:7" x14ac:dyDescent="0.2">
      <c r="A290" s="40">
        <v>2323</v>
      </c>
      <c r="B290" s="39" t="s">
        <v>1417</v>
      </c>
      <c r="C290" s="40" t="s">
        <v>1281</v>
      </c>
      <c r="D290" s="74" t="s">
        <v>1271</v>
      </c>
      <c r="E290" s="74" t="s">
        <v>1266</v>
      </c>
      <c r="F290" s="74" t="s">
        <v>1267</v>
      </c>
      <c r="G290" s="74" t="s">
        <v>1268</v>
      </c>
    </row>
    <row r="291" spans="1:7" x14ac:dyDescent="0.2">
      <c r="A291" s="40">
        <v>2324</v>
      </c>
      <c r="B291" s="39" t="s">
        <v>1418</v>
      </c>
      <c r="C291" s="40" t="s">
        <v>1281</v>
      </c>
      <c r="D291" s="74" t="s">
        <v>1271</v>
      </c>
      <c r="E291" s="74" t="s">
        <v>1266</v>
      </c>
      <c r="F291" s="74" t="s">
        <v>1267</v>
      </c>
      <c r="G291" s="74" t="s">
        <v>1268</v>
      </c>
    </row>
    <row r="292" spans="1:7" x14ac:dyDescent="0.2">
      <c r="A292" s="40">
        <v>2325</v>
      </c>
      <c r="B292" s="39" t="s">
        <v>1419</v>
      </c>
      <c r="C292" s="40" t="s">
        <v>1281</v>
      </c>
      <c r="D292" s="74" t="s">
        <v>1269</v>
      </c>
      <c r="E292" s="74" t="s">
        <v>1266</v>
      </c>
      <c r="F292" s="74" t="s">
        <v>1268</v>
      </c>
      <c r="G292" s="74" t="s">
        <v>1268</v>
      </c>
    </row>
    <row r="293" spans="1:7" x14ac:dyDescent="0.2">
      <c r="A293" s="40">
        <v>2326</v>
      </c>
      <c r="B293" s="39" t="s">
        <v>1420</v>
      </c>
      <c r="C293" s="40" t="s">
        <v>1281</v>
      </c>
      <c r="D293" s="74" t="s">
        <v>1269</v>
      </c>
      <c r="E293" s="74" t="s">
        <v>1266</v>
      </c>
      <c r="F293" s="74" t="s">
        <v>1268</v>
      </c>
      <c r="G293" s="74" t="s">
        <v>1268</v>
      </c>
    </row>
    <row r="294" spans="1:7" x14ac:dyDescent="0.2">
      <c r="A294" s="40">
        <v>2331</v>
      </c>
      <c r="B294" s="39" t="s">
        <v>1421</v>
      </c>
      <c r="C294" s="40" t="s">
        <v>1281</v>
      </c>
      <c r="D294" s="74" t="s">
        <v>1269</v>
      </c>
      <c r="E294" s="74" t="s">
        <v>1266</v>
      </c>
      <c r="F294" s="74" t="s">
        <v>1268</v>
      </c>
      <c r="G294" s="74" t="s">
        <v>1268</v>
      </c>
    </row>
    <row r="295" spans="1:7" x14ac:dyDescent="0.2">
      <c r="A295" s="40">
        <v>2332</v>
      </c>
      <c r="B295" s="39" t="s">
        <v>1422</v>
      </c>
      <c r="C295" s="40" t="s">
        <v>1281</v>
      </c>
      <c r="D295" s="74" t="s">
        <v>1269</v>
      </c>
      <c r="E295" s="74" t="s">
        <v>1266</v>
      </c>
      <c r="F295" s="74" t="s">
        <v>1268</v>
      </c>
      <c r="G295" s="74" t="s">
        <v>1268</v>
      </c>
    </row>
    <row r="296" spans="1:7" x14ac:dyDescent="0.2">
      <c r="A296" s="40">
        <v>2333</v>
      </c>
      <c r="B296" s="39" t="s">
        <v>1423</v>
      </c>
      <c r="C296" s="40" t="s">
        <v>1281</v>
      </c>
      <c r="D296" s="74" t="s">
        <v>1269</v>
      </c>
      <c r="E296" s="74" t="s">
        <v>1266</v>
      </c>
      <c r="F296" s="74" t="s">
        <v>1268</v>
      </c>
      <c r="G296" s="74" t="s">
        <v>1268</v>
      </c>
    </row>
    <row r="297" spans="1:7" x14ac:dyDescent="0.2">
      <c r="A297" s="40">
        <v>2334</v>
      </c>
      <c r="B297" s="39" t="s">
        <v>1421</v>
      </c>
      <c r="C297" s="40" t="s">
        <v>1281</v>
      </c>
      <c r="D297" s="74" t="s">
        <v>1269</v>
      </c>
      <c r="E297" s="74" t="s">
        <v>1266</v>
      </c>
      <c r="F297" s="74" t="s">
        <v>1268</v>
      </c>
      <c r="G297" s="74" t="s">
        <v>1268</v>
      </c>
    </row>
    <row r="298" spans="1:7" x14ac:dyDescent="0.2">
      <c r="A298" s="40">
        <v>2340</v>
      </c>
      <c r="B298" s="39" t="s">
        <v>1424</v>
      </c>
      <c r="C298" s="40" t="s">
        <v>1281</v>
      </c>
      <c r="D298" s="74" t="s">
        <v>1269</v>
      </c>
      <c r="E298" s="74" t="s">
        <v>1266</v>
      </c>
      <c r="F298" s="74" t="s">
        <v>1268</v>
      </c>
      <c r="G298" s="74" t="s">
        <v>1268</v>
      </c>
    </row>
    <row r="299" spans="1:7" x14ac:dyDescent="0.2">
      <c r="A299" s="40">
        <v>2342</v>
      </c>
      <c r="B299" s="39" t="s">
        <v>1424</v>
      </c>
      <c r="C299" s="40" t="s">
        <v>1281</v>
      </c>
      <c r="D299" s="74" t="s">
        <v>1271</v>
      </c>
      <c r="E299" s="74" t="s">
        <v>1266</v>
      </c>
      <c r="F299" s="74" t="s">
        <v>1267</v>
      </c>
      <c r="G299" s="74" t="s">
        <v>1268</v>
      </c>
    </row>
    <row r="300" spans="1:7" x14ac:dyDescent="0.2">
      <c r="A300" s="40">
        <v>2344</v>
      </c>
      <c r="B300" s="39" t="s">
        <v>1425</v>
      </c>
      <c r="C300" s="40" t="s">
        <v>1281</v>
      </c>
      <c r="D300" s="74" t="s">
        <v>1269</v>
      </c>
      <c r="E300" s="74" t="s">
        <v>1266</v>
      </c>
      <c r="F300" s="74" t="s">
        <v>1268</v>
      </c>
      <c r="G300" s="74" t="s">
        <v>1268</v>
      </c>
    </row>
    <row r="301" spans="1:7" x14ac:dyDescent="0.2">
      <c r="A301" s="40">
        <v>2345</v>
      </c>
      <c r="B301" s="39" t="s">
        <v>1426</v>
      </c>
      <c r="C301" s="40" t="s">
        <v>1281</v>
      </c>
      <c r="D301" s="74" t="s">
        <v>1269</v>
      </c>
      <c r="E301" s="74" t="s">
        <v>1266</v>
      </c>
      <c r="F301" s="74" t="s">
        <v>1268</v>
      </c>
      <c r="G301" s="74" t="s">
        <v>1268</v>
      </c>
    </row>
    <row r="302" spans="1:7" x14ac:dyDescent="0.2">
      <c r="A302" s="40">
        <v>2346</v>
      </c>
      <c r="B302" s="39" t="s">
        <v>1783</v>
      </c>
      <c r="C302" s="40" t="s">
        <v>1281</v>
      </c>
      <c r="D302" s="74" t="s">
        <v>1271</v>
      </c>
      <c r="E302" s="74" t="s">
        <v>1266</v>
      </c>
      <c r="F302" s="74" t="s">
        <v>1267</v>
      </c>
      <c r="G302" s="74" t="s">
        <v>1268</v>
      </c>
    </row>
    <row r="303" spans="1:7" x14ac:dyDescent="0.2">
      <c r="A303" s="40">
        <v>2351</v>
      </c>
      <c r="B303" s="39" t="s">
        <v>1784</v>
      </c>
      <c r="C303" s="40" t="s">
        <v>1281</v>
      </c>
      <c r="D303" s="74" t="s">
        <v>1269</v>
      </c>
      <c r="E303" s="74" t="s">
        <v>1266</v>
      </c>
      <c r="F303" s="74" t="s">
        <v>1268</v>
      </c>
      <c r="G303" s="74" t="s">
        <v>1268</v>
      </c>
    </row>
    <row r="304" spans="1:7" x14ac:dyDescent="0.2">
      <c r="A304" s="40">
        <v>2352</v>
      </c>
      <c r="B304" s="39" t="s">
        <v>178</v>
      </c>
      <c r="C304" s="40" t="s">
        <v>1281</v>
      </c>
      <c r="D304" s="74" t="s">
        <v>1269</v>
      </c>
      <c r="E304" s="74" t="s">
        <v>1266</v>
      </c>
      <c r="F304" s="74" t="s">
        <v>1268</v>
      </c>
      <c r="G304" s="74" t="s">
        <v>1268</v>
      </c>
    </row>
    <row r="305" spans="1:7" x14ac:dyDescent="0.2">
      <c r="A305" s="40">
        <v>2353</v>
      </c>
      <c r="B305" s="39" t="s">
        <v>1785</v>
      </c>
      <c r="C305" s="40" t="s">
        <v>1281</v>
      </c>
      <c r="D305" s="74" t="s">
        <v>1269</v>
      </c>
      <c r="E305" s="74" t="s">
        <v>1266</v>
      </c>
      <c r="F305" s="74" t="s">
        <v>1268</v>
      </c>
      <c r="G305" s="74" t="s">
        <v>1268</v>
      </c>
    </row>
    <row r="306" spans="1:7" x14ac:dyDescent="0.2">
      <c r="A306" s="40">
        <v>2355</v>
      </c>
      <c r="B306" s="39" t="s">
        <v>1784</v>
      </c>
      <c r="C306" s="40" t="s">
        <v>1281</v>
      </c>
      <c r="D306" s="74" t="s">
        <v>1271</v>
      </c>
      <c r="E306" s="74" t="s">
        <v>1266</v>
      </c>
      <c r="F306" s="74" t="s">
        <v>1267</v>
      </c>
      <c r="G306" s="74" t="s">
        <v>1268</v>
      </c>
    </row>
    <row r="307" spans="1:7" x14ac:dyDescent="0.2">
      <c r="A307" s="40">
        <v>2361</v>
      </c>
      <c r="B307" s="39" t="s">
        <v>1786</v>
      </c>
      <c r="C307" s="40" t="s">
        <v>1281</v>
      </c>
      <c r="D307" s="74" t="s">
        <v>1269</v>
      </c>
      <c r="E307" s="74" t="s">
        <v>1266</v>
      </c>
      <c r="F307" s="74" t="s">
        <v>1268</v>
      </c>
      <c r="G307" s="74" t="s">
        <v>1268</v>
      </c>
    </row>
    <row r="308" spans="1:7" x14ac:dyDescent="0.2">
      <c r="A308" s="40">
        <v>2362</v>
      </c>
      <c r="B308" s="39" t="s">
        <v>1787</v>
      </c>
      <c r="C308" s="40" t="s">
        <v>1281</v>
      </c>
      <c r="D308" s="74" t="s">
        <v>1269</v>
      </c>
      <c r="E308" s="74" t="s">
        <v>1266</v>
      </c>
      <c r="F308" s="74" t="s">
        <v>1268</v>
      </c>
      <c r="G308" s="74" t="s">
        <v>1268</v>
      </c>
    </row>
    <row r="309" spans="1:7" x14ac:dyDescent="0.2">
      <c r="A309" s="40">
        <v>2371</v>
      </c>
      <c r="B309" s="39" t="s">
        <v>1788</v>
      </c>
      <c r="C309" s="40" t="s">
        <v>1281</v>
      </c>
      <c r="D309" s="74" t="s">
        <v>1269</v>
      </c>
      <c r="E309" s="74" t="s">
        <v>1266</v>
      </c>
      <c r="F309" s="74" t="s">
        <v>1268</v>
      </c>
      <c r="G309" s="74" t="s">
        <v>1268</v>
      </c>
    </row>
    <row r="310" spans="1:7" x14ac:dyDescent="0.2">
      <c r="A310" s="40">
        <v>2372</v>
      </c>
      <c r="B310" s="39" t="s">
        <v>1789</v>
      </c>
      <c r="C310" s="40" t="s">
        <v>1281</v>
      </c>
      <c r="D310" s="74" t="s">
        <v>1269</v>
      </c>
      <c r="E310" s="74" t="s">
        <v>1266</v>
      </c>
      <c r="F310" s="74" t="s">
        <v>1268</v>
      </c>
      <c r="G310" s="74" t="s">
        <v>1267</v>
      </c>
    </row>
    <row r="311" spans="1:7" x14ac:dyDescent="0.2">
      <c r="A311" s="40">
        <v>2380</v>
      </c>
      <c r="B311" s="39" t="s">
        <v>1790</v>
      </c>
      <c r="C311" s="40" t="s">
        <v>1281</v>
      </c>
      <c r="D311" s="74" t="s">
        <v>1269</v>
      </c>
      <c r="E311" s="74" t="s">
        <v>1266</v>
      </c>
      <c r="F311" s="74" t="s">
        <v>1268</v>
      </c>
      <c r="G311" s="74" t="s">
        <v>1268</v>
      </c>
    </row>
    <row r="312" spans="1:7" x14ac:dyDescent="0.2">
      <c r="A312" s="40">
        <v>2381</v>
      </c>
      <c r="B312" s="39" t="s">
        <v>1791</v>
      </c>
      <c r="C312" s="40" t="s">
        <v>1281</v>
      </c>
      <c r="D312" s="74" t="s">
        <v>1269</v>
      </c>
      <c r="E312" s="74" t="s">
        <v>1266</v>
      </c>
      <c r="F312" s="74" t="s">
        <v>1268</v>
      </c>
      <c r="G312" s="74" t="s">
        <v>1267</v>
      </c>
    </row>
    <row r="313" spans="1:7" x14ac:dyDescent="0.2">
      <c r="A313" s="40">
        <v>2384</v>
      </c>
      <c r="B313" s="39" t="s">
        <v>1792</v>
      </c>
      <c r="C313" s="40" t="s">
        <v>1281</v>
      </c>
      <c r="D313" s="74" t="s">
        <v>1269</v>
      </c>
      <c r="E313" s="74" t="s">
        <v>1266</v>
      </c>
      <c r="F313" s="74" t="s">
        <v>1268</v>
      </c>
      <c r="G313" s="74" t="s">
        <v>1268</v>
      </c>
    </row>
    <row r="314" spans="1:7" x14ac:dyDescent="0.2">
      <c r="A314" s="40">
        <v>2391</v>
      </c>
      <c r="B314" s="39" t="s">
        <v>1793</v>
      </c>
      <c r="C314" s="40" t="s">
        <v>1281</v>
      </c>
      <c r="D314" s="74" t="s">
        <v>1269</v>
      </c>
      <c r="E314" s="74" t="s">
        <v>1266</v>
      </c>
      <c r="F314" s="74" t="s">
        <v>1268</v>
      </c>
      <c r="G314" s="74" t="s">
        <v>1268</v>
      </c>
    </row>
    <row r="315" spans="1:7" x14ac:dyDescent="0.2">
      <c r="A315" s="40">
        <v>2392</v>
      </c>
      <c r="B315" s="39" t="s">
        <v>1794</v>
      </c>
      <c r="C315" s="40" t="s">
        <v>1281</v>
      </c>
      <c r="D315" s="74" t="s">
        <v>1269</v>
      </c>
      <c r="E315" s="74" t="s">
        <v>1266</v>
      </c>
      <c r="F315" s="74" t="s">
        <v>1268</v>
      </c>
      <c r="G315" s="74" t="s">
        <v>1268</v>
      </c>
    </row>
    <row r="316" spans="1:7" x14ac:dyDescent="0.2">
      <c r="A316" s="40">
        <v>2393</v>
      </c>
      <c r="B316" s="39" t="s">
        <v>1795</v>
      </c>
      <c r="C316" s="40" t="s">
        <v>1281</v>
      </c>
      <c r="D316" s="74" t="s">
        <v>1269</v>
      </c>
      <c r="E316" s="74" t="s">
        <v>1266</v>
      </c>
      <c r="F316" s="74" t="s">
        <v>1268</v>
      </c>
      <c r="G316" s="74" t="s">
        <v>1267</v>
      </c>
    </row>
    <row r="317" spans="1:7" x14ac:dyDescent="0.2">
      <c r="A317" s="40">
        <v>2401</v>
      </c>
      <c r="B317" s="39" t="s">
        <v>1796</v>
      </c>
      <c r="C317" s="40" t="s">
        <v>1281</v>
      </c>
      <c r="D317" s="74" t="s">
        <v>1269</v>
      </c>
      <c r="E317" s="74" t="s">
        <v>1266</v>
      </c>
      <c r="F317" s="74" t="s">
        <v>1268</v>
      </c>
      <c r="G317" s="74" t="s">
        <v>1268</v>
      </c>
    </row>
    <row r="318" spans="1:7" x14ac:dyDescent="0.2">
      <c r="A318" s="40">
        <v>2402</v>
      </c>
      <c r="B318" s="39" t="s">
        <v>1797</v>
      </c>
      <c r="C318" s="40" t="s">
        <v>1281</v>
      </c>
      <c r="D318" s="74" t="s">
        <v>1269</v>
      </c>
      <c r="E318" s="74" t="s">
        <v>1266</v>
      </c>
      <c r="F318" s="74" t="s">
        <v>1268</v>
      </c>
      <c r="G318" s="74" t="s">
        <v>1268</v>
      </c>
    </row>
    <row r="319" spans="1:7" x14ac:dyDescent="0.2">
      <c r="A319" s="40">
        <v>2403</v>
      </c>
      <c r="B319" s="39" t="s">
        <v>1798</v>
      </c>
      <c r="C319" s="40" t="s">
        <v>1281</v>
      </c>
      <c r="D319" s="74" t="s">
        <v>1269</v>
      </c>
      <c r="E319" s="74" t="s">
        <v>1266</v>
      </c>
      <c r="F319" s="74" t="s">
        <v>1268</v>
      </c>
      <c r="G319" s="74" t="s">
        <v>1267</v>
      </c>
    </row>
    <row r="320" spans="1:7" x14ac:dyDescent="0.2">
      <c r="A320" s="40">
        <v>2404</v>
      </c>
      <c r="B320" s="39" t="s">
        <v>1799</v>
      </c>
      <c r="C320" s="40" t="s">
        <v>1281</v>
      </c>
      <c r="D320" s="74" t="s">
        <v>1269</v>
      </c>
      <c r="E320" s="74" t="s">
        <v>1266</v>
      </c>
      <c r="F320" s="74" t="s">
        <v>1268</v>
      </c>
      <c r="G320" s="74" t="s">
        <v>1267</v>
      </c>
    </row>
    <row r="321" spans="1:7" x14ac:dyDescent="0.2">
      <c r="A321" s="40">
        <v>2405</v>
      </c>
      <c r="B321" s="39" t="s">
        <v>1800</v>
      </c>
      <c r="C321" s="40" t="s">
        <v>1281</v>
      </c>
      <c r="D321" s="74" t="s">
        <v>1269</v>
      </c>
      <c r="E321" s="74" t="s">
        <v>1266</v>
      </c>
      <c r="F321" s="74" t="s">
        <v>1268</v>
      </c>
      <c r="G321" s="74" t="s">
        <v>1268</v>
      </c>
    </row>
    <row r="322" spans="1:7" x14ac:dyDescent="0.2">
      <c r="A322" s="40">
        <v>2410</v>
      </c>
      <c r="B322" s="39" t="s">
        <v>1801</v>
      </c>
      <c r="C322" s="40" t="s">
        <v>1281</v>
      </c>
      <c r="D322" s="74" t="s">
        <v>1269</v>
      </c>
      <c r="E322" s="74" t="s">
        <v>1266</v>
      </c>
      <c r="F322" s="74" t="s">
        <v>1268</v>
      </c>
      <c r="G322" s="74" t="s">
        <v>1268</v>
      </c>
    </row>
    <row r="323" spans="1:7" x14ac:dyDescent="0.2">
      <c r="A323" s="40">
        <v>2412</v>
      </c>
      <c r="B323" s="39" t="s">
        <v>1802</v>
      </c>
      <c r="C323" s="40" t="s">
        <v>1281</v>
      </c>
      <c r="D323" s="74" t="s">
        <v>1269</v>
      </c>
      <c r="E323" s="74" t="s">
        <v>1266</v>
      </c>
      <c r="F323" s="74" t="s">
        <v>1268</v>
      </c>
      <c r="G323" s="74" t="s">
        <v>1267</v>
      </c>
    </row>
    <row r="324" spans="1:7" x14ac:dyDescent="0.2">
      <c r="A324" s="40">
        <v>2413</v>
      </c>
      <c r="B324" s="39" t="s">
        <v>1803</v>
      </c>
      <c r="C324" s="40" t="s">
        <v>1281</v>
      </c>
      <c r="D324" s="74" t="s">
        <v>1269</v>
      </c>
      <c r="E324" s="74" t="s">
        <v>1266</v>
      </c>
      <c r="F324" s="74" t="s">
        <v>1268</v>
      </c>
      <c r="G324" s="74" t="s">
        <v>1267</v>
      </c>
    </row>
    <row r="325" spans="1:7" x14ac:dyDescent="0.2">
      <c r="A325" s="40">
        <v>2421</v>
      </c>
      <c r="B325" s="39" t="s">
        <v>1804</v>
      </c>
      <c r="C325" s="40" t="s">
        <v>1805</v>
      </c>
      <c r="D325" s="74" t="s">
        <v>1269</v>
      </c>
      <c r="E325" s="74" t="s">
        <v>1266</v>
      </c>
      <c r="F325" s="74" t="s">
        <v>1268</v>
      </c>
      <c r="G325" s="74" t="s">
        <v>1268</v>
      </c>
    </row>
    <row r="326" spans="1:7" x14ac:dyDescent="0.2">
      <c r="A326" s="40">
        <v>2422</v>
      </c>
      <c r="B326" s="39" t="s">
        <v>1806</v>
      </c>
      <c r="C326" s="40" t="s">
        <v>1805</v>
      </c>
      <c r="D326" s="74" t="s">
        <v>1269</v>
      </c>
      <c r="E326" s="74" t="s">
        <v>1266</v>
      </c>
      <c r="F326" s="74" t="s">
        <v>1268</v>
      </c>
      <c r="G326" s="74" t="s">
        <v>1267</v>
      </c>
    </row>
    <row r="327" spans="1:7" x14ac:dyDescent="0.2">
      <c r="A327" s="40">
        <v>2423</v>
      </c>
      <c r="B327" s="39" t="s">
        <v>1807</v>
      </c>
      <c r="C327" s="40" t="s">
        <v>1805</v>
      </c>
      <c r="D327" s="74" t="s">
        <v>1269</v>
      </c>
      <c r="E327" s="74" t="s">
        <v>1266</v>
      </c>
      <c r="F327" s="74" t="s">
        <v>1268</v>
      </c>
      <c r="G327" s="74" t="s">
        <v>1267</v>
      </c>
    </row>
    <row r="328" spans="1:7" x14ac:dyDescent="0.2">
      <c r="A328" s="40">
        <v>2424</v>
      </c>
      <c r="B328" s="39" t="s">
        <v>1808</v>
      </c>
      <c r="C328" s="40" t="s">
        <v>1805</v>
      </c>
      <c r="D328" s="74" t="s">
        <v>1269</v>
      </c>
      <c r="E328" s="74" t="s">
        <v>1266</v>
      </c>
      <c r="F328" s="74" t="s">
        <v>1268</v>
      </c>
      <c r="G328" s="74" t="s">
        <v>1268</v>
      </c>
    </row>
    <row r="329" spans="1:7" x14ac:dyDescent="0.2">
      <c r="A329" s="40">
        <v>2425</v>
      </c>
      <c r="B329" s="39" t="s">
        <v>1809</v>
      </c>
      <c r="C329" s="40" t="s">
        <v>1805</v>
      </c>
      <c r="D329" s="74" t="s">
        <v>1269</v>
      </c>
      <c r="E329" s="74" t="s">
        <v>1266</v>
      </c>
      <c r="F329" s="74" t="s">
        <v>1268</v>
      </c>
      <c r="G329" s="74" t="s">
        <v>1268</v>
      </c>
    </row>
    <row r="330" spans="1:7" x14ac:dyDescent="0.2">
      <c r="A330" s="40">
        <v>2431</v>
      </c>
      <c r="B330" s="39" t="s">
        <v>1810</v>
      </c>
      <c r="C330" s="40" t="s">
        <v>1281</v>
      </c>
      <c r="D330" s="74" t="s">
        <v>1269</v>
      </c>
      <c r="E330" s="74" t="s">
        <v>1266</v>
      </c>
      <c r="F330" s="74" t="s">
        <v>1268</v>
      </c>
      <c r="G330" s="74" t="s">
        <v>1267</v>
      </c>
    </row>
    <row r="331" spans="1:7" x14ac:dyDescent="0.2">
      <c r="A331" s="40">
        <v>2432</v>
      </c>
      <c r="B331" s="39" t="s">
        <v>1811</v>
      </c>
      <c r="C331" s="40" t="s">
        <v>1281</v>
      </c>
      <c r="D331" s="74" t="s">
        <v>1269</v>
      </c>
      <c r="E331" s="74" t="s">
        <v>1266</v>
      </c>
      <c r="F331" s="74" t="s">
        <v>1268</v>
      </c>
      <c r="G331" s="74" t="s">
        <v>1268</v>
      </c>
    </row>
    <row r="332" spans="1:7" x14ac:dyDescent="0.2">
      <c r="A332" s="40">
        <v>2433</v>
      </c>
      <c r="B332" s="39" t="s">
        <v>1812</v>
      </c>
      <c r="C332" s="40" t="s">
        <v>1281</v>
      </c>
      <c r="D332" s="74" t="s">
        <v>1269</v>
      </c>
      <c r="E332" s="74" t="s">
        <v>1266</v>
      </c>
      <c r="F332" s="74" t="s">
        <v>1268</v>
      </c>
      <c r="G332" s="74" t="s">
        <v>1267</v>
      </c>
    </row>
    <row r="333" spans="1:7" x14ac:dyDescent="0.2">
      <c r="A333" s="40">
        <v>2434</v>
      </c>
      <c r="B333" s="39" t="s">
        <v>1813</v>
      </c>
      <c r="C333" s="40" t="s">
        <v>1281</v>
      </c>
      <c r="D333" s="74" t="s">
        <v>1269</v>
      </c>
      <c r="E333" s="74" t="s">
        <v>1266</v>
      </c>
      <c r="F333" s="74" t="s">
        <v>1268</v>
      </c>
      <c r="G333" s="74" t="s">
        <v>1267</v>
      </c>
    </row>
    <row r="334" spans="1:7" x14ac:dyDescent="0.2">
      <c r="A334" s="40">
        <v>2435</v>
      </c>
      <c r="B334" s="39" t="s">
        <v>1814</v>
      </c>
      <c r="C334" s="40" t="s">
        <v>1281</v>
      </c>
      <c r="D334" s="74" t="s">
        <v>1269</v>
      </c>
      <c r="E334" s="74" t="s">
        <v>1266</v>
      </c>
      <c r="F334" s="74" t="s">
        <v>1268</v>
      </c>
      <c r="G334" s="74" t="s">
        <v>1268</v>
      </c>
    </row>
    <row r="335" spans="1:7" x14ac:dyDescent="0.2">
      <c r="A335" s="40">
        <v>2440</v>
      </c>
      <c r="B335" s="39" t="s">
        <v>1815</v>
      </c>
      <c r="C335" s="40" t="s">
        <v>1281</v>
      </c>
      <c r="D335" s="74" t="s">
        <v>1269</v>
      </c>
      <c r="E335" s="74" t="s">
        <v>1266</v>
      </c>
      <c r="F335" s="74" t="s">
        <v>1268</v>
      </c>
      <c r="G335" s="74" t="s">
        <v>1268</v>
      </c>
    </row>
    <row r="336" spans="1:7" x14ac:dyDescent="0.2">
      <c r="A336" s="40">
        <v>2441</v>
      </c>
      <c r="B336" s="39" t="s">
        <v>1816</v>
      </c>
      <c r="C336" s="40" t="s">
        <v>1281</v>
      </c>
      <c r="D336" s="74" t="s">
        <v>1269</v>
      </c>
      <c r="E336" s="74" t="s">
        <v>1266</v>
      </c>
      <c r="F336" s="74" t="s">
        <v>1268</v>
      </c>
      <c r="G336" s="74" t="s">
        <v>1267</v>
      </c>
    </row>
    <row r="337" spans="1:7" x14ac:dyDescent="0.2">
      <c r="A337" s="40">
        <v>2442</v>
      </c>
      <c r="B337" s="39" t="s">
        <v>1817</v>
      </c>
      <c r="C337" s="40" t="s">
        <v>1281</v>
      </c>
      <c r="D337" s="74" t="s">
        <v>1269</v>
      </c>
      <c r="E337" s="74" t="s">
        <v>1266</v>
      </c>
      <c r="F337" s="74" t="s">
        <v>1268</v>
      </c>
      <c r="G337" s="74" t="s">
        <v>1268</v>
      </c>
    </row>
    <row r="338" spans="1:7" x14ac:dyDescent="0.2">
      <c r="A338" s="40">
        <v>2443</v>
      </c>
      <c r="B338" s="39" t="s">
        <v>1818</v>
      </c>
      <c r="C338" s="40" t="s">
        <v>1281</v>
      </c>
      <c r="D338" s="74" t="s">
        <v>1269</v>
      </c>
      <c r="E338" s="74" t="s">
        <v>1266</v>
      </c>
      <c r="F338" s="74" t="s">
        <v>1268</v>
      </c>
      <c r="G338" s="74" t="s">
        <v>1268</v>
      </c>
    </row>
    <row r="339" spans="1:7" x14ac:dyDescent="0.2">
      <c r="A339" s="40">
        <v>2444</v>
      </c>
      <c r="B339" s="39" t="s">
        <v>1819</v>
      </c>
      <c r="C339" s="40" t="s">
        <v>1281</v>
      </c>
      <c r="D339" s="74" t="s">
        <v>1269</v>
      </c>
      <c r="E339" s="74" t="s">
        <v>1266</v>
      </c>
      <c r="F339" s="74" t="s">
        <v>1268</v>
      </c>
      <c r="G339" s="74" t="s">
        <v>1267</v>
      </c>
    </row>
    <row r="340" spans="1:7" x14ac:dyDescent="0.2">
      <c r="A340" s="40">
        <v>2451</v>
      </c>
      <c r="B340" s="39" t="s">
        <v>1820</v>
      </c>
      <c r="C340" s="40" t="s">
        <v>1281</v>
      </c>
      <c r="D340" s="74" t="s">
        <v>1269</v>
      </c>
      <c r="E340" s="74" t="s">
        <v>1266</v>
      </c>
      <c r="F340" s="74" t="s">
        <v>1268</v>
      </c>
      <c r="G340" s="74" t="s">
        <v>1268</v>
      </c>
    </row>
    <row r="341" spans="1:7" x14ac:dyDescent="0.2">
      <c r="A341" s="40">
        <v>2452</v>
      </c>
      <c r="B341" s="39" t="s">
        <v>1821</v>
      </c>
      <c r="C341" s="40" t="s">
        <v>1281</v>
      </c>
      <c r="D341" s="74" t="s">
        <v>1269</v>
      </c>
      <c r="E341" s="74" t="s">
        <v>1266</v>
      </c>
      <c r="F341" s="74" t="s">
        <v>1268</v>
      </c>
      <c r="G341" s="74" t="s">
        <v>1268</v>
      </c>
    </row>
    <row r="342" spans="1:7" x14ac:dyDescent="0.2">
      <c r="A342" s="40">
        <v>2453</v>
      </c>
      <c r="B342" s="39" t="s">
        <v>1822</v>
      </c>
      <c r="C342" s="40" t="s">
        <v>1281</v>
      </c>
      <c r="D342" s="74" t="s">
        <v>1269</v>
      </c>
      <c r="E342" s="74" t="s">
        <v>1266</v>
      </c>
      <c r="F342" s="74" t="s">
        <v>1268</v>
      </c>
      <c r="G342" s="74" t="s">
        <v>1267</v>
      </c>
    </row>
    <row r="343" spans="1:7" x14ac:dyDescent="0.2">
      <c r="A343" s="40">
        <v>2454</v>
      </c>
      <c r="B343" s="39" t="s">
        <v>1823</v>
      </c>
      <c r="C343" s="40" t="s">
        <v>1281</v>
      </c>
      <c r="D343" s="74" t="s">
        <v>1269</v>
      </c>
      <c r="E343" s="74" t="s">
        <v>1266</v>
      </c>
      <c r="F343" s="74" t="s">
        <v>1268</v>
      </c>
      <c r="G343" s="74" t="s">
        <v>1267</v>
      </c>
    </row>
    <row r="344" spans="1:7" x14ac:dyDescent="0.2">
      <c r="A344" s="40">
        <v>2460</v>
      </c>
      <c r="B344" s="39" t="s">
        <v>1824</v>
      </c>
      <c r="C344" s="40" t="s">
        <v>1281</v>
      </c>
      <c r="D344" s="74" t="s">
        <v>1269</v>
      </c>
      <c r="E344" s="74" t="s">
        <v>1266</v>
      </c>
      <c r="F344" s="74" t="s">
        <v>1268</v>
      </c>
      <c r="G344" s="74" t="s">
        <v>1268</v>
      </c>
    </row>
    <row r="345" spans="1:7" x14ac:dyDescent="0.2">
      <c r="A345" s="40">
        <v>2462</v>
      </c>
      <c r="B345" s="39" t="s">
        <v>1825</v>
      </c>
      <c r="C345" s="40" t="s">
        <v>1281</v>
      </c>
      <c r="D345" s="74" t="s">
        <v>1269</v>
      </c>
      <c r="E345" s="74" t="s">
        <v>1266</v>
      </c>
      <c r="F345" s="74" t="s">
        <v>1268</v>
      </c>
      <c r="G345" s="74" t="s">
        <v>1267</v>
      </c>
    </row>
    <row r="346" spans="1:7" x14ac:dyDescent="0.2">
      <c r="A346" s="40">
        <v>2463</v>
      </c>
      <c r="B346" s="39" t="s">
        <v>1826</v>
      </c>
      <c r="C346" s="40" t="s">
        <v>1281</v>
      </c>
      <c r="D346" s="74" t="s">
        <v>1269</v>
      </c>
      <c r="E346" s="74" t="s">
        <v>1266</v>
      </c>
      <c r="F346" s="74" t="s">
        <v>1268</v>
      </c>
      <c r="G346" s="74" t="s">
        <v>1267</v>
      </c>
    </row>
    <row r="347" spans="1:7" x14ac:dyDescent="0.2">
      <c r="A347" s="40">
        <v>2464</v>
      </c>
      <c r="B347" s="39" t="s">
        <v>1827</v>
      </c>
      <c r="C347" s="40" t="s">
        <v>1281</v>
      </c>
      <c r="D347" s="74" t="s">
        <v>1269</v>
      </c>
      <c r="E347" s="74" t="s">
        <v>1266</v>
      </c>
      <c r="F347" s="74" t="s">
        <v>1268</v>
      </c>
      <c r="G347" s="74" t="s">
        <v>1267</v>
      </c>
    </row>
    <row r="348" spans="1:7" x14ac:dyDescent="0.2">
      <c r="A348" s="40">
        <v>2465</v>
      </c>
      <c r="B348" s="39" t="s">
        <v>1828</v>
      </c>
      <c r="C348" s="40" t="s">
        <v>1281</v>
      </c>
      <c r="D348" s="74" t="s">
        <v>1269</v>
      </c>
      <c r="E348" s="74" t="s">
        <v>1266</v>
      </c>
      <c r="F348" s="74" t="s">
        <v>1268</v>
      </c>
      <c r="G348" s="74" t="s">
        <v>1267</v>
      </c>
    </row>
    <row r="349" spans="1:7" x14ac:dyDescent="0.2">
      <c r="A349" s="40">
        <v>2471</v>
      </c>
      <c r="B349" s="39" t="s">
        <v>1829</v>
      </c>
      <c r="C349" s="40" t="s">
        <v>1281</v>
      </c>
      <c r="D349" s="74" t="s">
        <v>1269</v>
      </c>
      <c r="E349" s="74" t="s">
        <v>1266</v>
      </c>
      <c r="F349" s="74" t="s">
        <v>1268</v>
      </c>
      <c r="G349" s="74" t="s">
        <v>1267</v>
      </c>
    </row>
    <row r="350" spans="1:7" x14ac:dyDescent="0.2">
      <c r="A350" s="40">
        <v>2472</v>
      </c>
      <c r="B350" s="39" t="s">
        <v>1830</v>
      </c>
      <c r="C350" s="40" t="s">
        <v>1281</v>
      </c>
      <c r="D350" s="74" t="s">
        <v>1269</v>
      </c>
      <c r="E350" s="74" t="s">
        <v>1266</v>
      </c>
      <c r="F350" s="74" t="s">
        <v>1268</v>
      </c>
      <c r="G350" s="74" t="s">
        <v>1267</v>
      </c>
    </row>
    <row r="351" spans="1:7" x14ac:dyDescent="0.2">
      <c r="A351" s="40">
        <v>2473</v>
      </c>
      <c r="B351" s="39" t="s">
        <v>1833</v>
      </c>
      <c r="C351" s="40" t="s">
        <v>1805</v>
      </c>
      <c r="D351" s="74" t="s">
        <v>1269</v>
      </c>
      <c r="E351" s="74" t="s">
        <v>1266</v>
      </c>
      <c r="F351" s="74" t="s">
        <v>1268</v>
      </c>
      <c r="G351" s="74" t="s">
        <v>1267</v>
      </c>
    </row>
    <row r="352" spans="1:7" x14ac:dyDescent="0.2">
      <c r="A352" s="40">
        <v>2474</v>
      </c>
      <c r="B352" s="39" t="s">
        <v>1834</v>
      </c>
      <c r="C352" s="40" t="s">
        <v>1805</v>
      </c>
      <c r="D352" s="74" t="s">
        <v>1269</v>
      </c>
      <c r="E352" s="74" t="s">
        <v>1266</v>
      </c>
      <c r="F352" s="74" t="s">
        <v>1268</v>
      </c>
      <c r="G352" s="74" t="s">
        <v>1268</v>
      </c>
    </row>
    <row r="353" spans="1:7" x14ac:dyDescent="0.2">
      <c r="A353" s="40">
        <v>2475</v>
      </c>
      <c r="B353" s="39" t="s">
        <v>1835</v>
      </c>
      <c r="C353" s="40" t="s">
        <v>1805</v>
      </c>
      <c r="D353" s="74" t="s">
        <v>1269</v>
      </c>
      <c r="E353" s="74" t="s">
        <v>1266</v>
      </c>
      <c r="F353" s="74" t="s">
        <v>1268</v>
      </c>
      <c r="G353" s="74" t="s">
        <v>1267</v>
      </c>
    </row>
    <row r="354" spans="1:7" x14ac:dyDescent="0.2">
      <c r="A354" s="40">
        <v>2481</v>
      </c>
      <c r="B354" s="39" t="s">
        <v>1836</v>
      </c>
      <c r="C354" s="40" t="s">
        <v>1281</v>
      </c>
      <c r="D354" s="74" t="s">
        <v>1269</v>
      </c>
      <c r="E354" s="74" t="s">
        <v>1266</v>
      </c>
      <c r="F354" s="74" t="s">
        <v>1268</v>
      </c>
      <c r="G354" s="74" t="s">
        <v>1268</v>
      </c>
    </row>
    <row r="355" spans="1:7" x14ac:dyDescent="0.2">
      <c r="A355" s="40">
        <v>2482</v>
      </c>
      <c r="B355" s="39" t="s">
        <v>1837</v>
      </c>
      <c r="C355" s="40" t="s">
        <v>1281</v>
      </c>
      <c r="D355" s="74" t="s">
        <v>1269</v>
      </c>
      <c r="E355" s="74" t="s">
        <v>1266</v>
      </c>
      <c r="F355" s="74" t="s">
        <v>1268</v>
      </c>
      <c r="G355" s="74" t="s">
        <v>1268</v>
      </c>
    </row>
    <row r="356" spans="1:7" x14ac:dyDescent="0.2">
      <c r="A356" s="40">
        <v>2483</v>
      </c>
      <c r="B356" s="39" t="s">
        <v>1838</v>
      </c>
      <c r="C356" s="40" t="s">
        <v>1281</v>
      </c>
      <c r="D356" s="74" t="s">
        <v>1269</v>
      </c>
      <c r="E356" s="74" t="s">
        <v>1266</v>
      </c>
      <c r="F356" s="74" t="s">
        <v>1268</v>
      </c>
      <c r="G356" s="74" t="s">
        <v>1268</v>
      </c>
    </row>
    <row r="357" spans="1:7" x14ac:dyDescent="0.2">
      <c r="A357" s="40">
        <v>2485</v>
      </c>
      <c r="B357" s="39" t="s">
        <v>1839</v>
      </c>
      <c r="C357" s="40" t="s">
        <v>1281</v>
      </c>
      <c r="D357" s="74" t="s">
        <v>1269</v>
      </c>
      <c r="E357" s="74" t="s">
        <v>1266</v>
      </c>
      <c r="F357" s="74" t="s">
        <v>1268</v>
      </c>
      <c r="G357" s="74" t="s">
        <v>1268</v>
      </c>
    </row>
    <row r="358" spans="1:7" x14ac:dyDescent="0.2">
      <c r="A358" s="40">
        <v>2486</v>
      </c>
      <c r="B358" s="39" t="s">
        <v>1840</v>
      </c>
      <c r="C358" s="40" t="s">
        <v>1281</v>
      </c>
      <c r="D358" s="74" t="s">
        <v>1269</v>
      </c>
      <c r="E358" s="74" t="s">
        <v>1266</v>
      </c>
      <c r="F358" s="74" t="s">
        <v>1268</v>
      </c>
      <c r="G358" s="74" t="s">
        <v>1268</v>
      </c>
    </row>
    <row r="359" spans="1:7" x14ac:dyDescent="0.2">
      <c r="A359" s="40">
        <v>2490</v>
      </c>
      <c r="B359" s="39" t="s">
        <v>1841</v>
      </c>
      <c r="C359" s="40" t="s">
        <v>1281</v>
      </c>
      <c r="D359" s="74" t="s">
        <v>1269</v>
      </c>
      <c r="E359" s="74" t="s">
        <v>1266</v>
      </c>
      <c r="F359" s="74" t="s">
        <v>1268</v>
      </c>
      <c r="G359" s="74" t="s">
        <v>1268</v>
      </c>
    </row>
    <row r="360" spans="1:7" x14ac:dyDescent="0.2">
      <c r="A360" s="40">
        <v>2491</v>
      </c>
      <c r="B360" s="39" t="s">
        <v>1842</v>
      </c>
      <c r="C360" s="40" t="s">
        <v>1805</v>
      </c>
      <c r="D360" s="74" t="s">
        <v>1269</v>
      </c>
      <c r="E360" s="74" t="s">
        <v>1266</v>
      </c>
      <c r="F360" s="74" t="s">
        <v>1268</v>
      </c>
      <c r="G360" s="74" t="s">
        <v>1268</v>
      </c>
    </row>
    <row r="361" spans="1:7" x14ac:dyDescent="0.2">
      <c r="A361" s="40">
        <v>2492</v>
      </c>
      <c r="B361" s="39" t="s">
        <v>1843</v>
      </c>
      <c r="C361" s="40" t="s">
        <v>1281</v>
      </c>
      <c r="D361" s="74" t="s">
        <v>1269</v>
      </c>
      <c r="E361" s="74" t="s">
        <v>1266</v>
      </c>
      <c r="F361" s="74" t="s">
        <v>1268</v>
      </c>
      <c r="G361" s="74" t="s">
        <v>1267</v>
      </c>
    </row>
    <row r="362" spans="1:7" x14ac:dyDescent="0.2">
      <c r="A362" s="40">
        <v>2493</v>
      </c>
      <c r="B362" s="39" t="s">
        <v>1844</v>
      </c>
      <c r="C362" s="40" t="s">
        <v>1281</v>
      </c>
      <c r="D362" s="74" t="s">
        <v>1269</v>
      </c>
      <c r="E362" s="74" t="s">
        <v>1266</v>
      </c>
      <c r="F362" s="74" t="s">
        <v>1268</v>
      </c>
      <c r="G362" s="74" t="s">
        <v>1268</v>
      </c>
    </row>
    <row r="363" spans="1:7" x14ac:dyDescent="0.2">
      <c r="A363" s="40">
        <v>2500</v>
      </c>
      <c r="B363" s="39" t="s">
        <v>1845</v>
      </c>
      <c r="C363" s="40" t="s">
        <v>1281</v>
      </c>
      <c r="D363" s="74" t="s">
        <v>1269</v>
      </c>
      <c r="E363" s="74" t="s">
        <v>1266</v>
      </c>
      <c r="F363" s="74" t="s">
        <v>1268</v>
      </c>
      <c r="G363" s="74" t="s">
        <v>1268</v>
      </c>
    </row>
    <row r="364" spans="1:7" x14ac:dyDescent="0.2">
      <c r="A364" s="40">
        <v>2502</v>
      </c>
      <c r="B364" s="39" t="s">
        <v>1846</v>
      </c>
      <c r="C364" s="40" t="s">
        <v>1281</v>
      </c>
      <c r="D364" s="74" t="s">
        <v>1271</v>
      </c>
      <c r="E364" s="74" t="s">
        <v>1266</v>
      </c>
      <c r="F364" s="74" t="s">
        <v>1267</v>
      </c>
      <c r="G364" s="74" t="s">
        <v>1268</v>
      </c>
    </row>
    <row r="365" spans="1:7" x14ac:dyDescent="0.2">
      <c r="A365" s="40">
        <v>2511</v>
      </c>
      <c r="B365" s="39" t="s">
        <v>1847</v>
      </c>
      <c r="C365" s="40" t="s">
        <v>1281</v>
      </c>
      <c r="D365" s="74" t="s">
        <v>1269</v>
      </c>
      <c r="E365" s="74" t="s">
        <v>1266</v>
      </c>
      <c r="F365" s="74" t="s">
        <v>1268</v>
      </c>
      <c r="G365" s="74" t="s">
        <v>1268</v>
      </c>
    </row>
    <row r="366" spans="1:7" x14ac:dyDescent="0.2">
      <c r="A366" s="40">
        <v>2512</v>
      </c>
      <c r="B366" s="39" t="s">
        <v>1848</v>
      </c>
      <c r="C366" s="40" t="s">
        <v>1281</v>
      </c>
      <c r="D366" s="74" t="s">
        <v>1269</v>
      </c>
      <c r="E366" s="74" t="s">
        <v>1266</v>
      </c>
      <c r="F366" s="74" t="s">
        <v>1268</v>
      </c>
      <c r="G366" s="74" t="s">
        <v>1268</v>
      </c>
    </row>
    <row r="367" spans="1:7" x14ac:dyDescent="0.2">
      <c r="A367" s="40">
        <v>2513</v>
      </c>
      <c r="B367" s="39" t="s">
        <v>1849</v>
      </c>
      <c r="C367" s="40" t="s">
        <v>1281</v>
      </c>
      <c r="D367" s="74" t="s">
        <v>1271</v>
      </c>
      <c r="E367" s="74" t="s">
        <v>1266</v>
      </c>
      <c r="F367" s="74" t="s">
        <v>1267</v>
      </c>
      <c r="G367" s="74" t="s">
        <v>1268</v>
      </c>
    </row>
    <row r="368" spans="1:7" x14ac:dyDescent="0.2">
      <c r="A368" s="40">
        <v>2514</v>
      </c>
      <c r="B368" s="39" t="s">
        <v>1850</v>
      </c>
      <c r="C368" s="40" t="s">
        <v>1281</v>
      </c>
      <c r="D368" s="74" t="s">
        <v>1269</v>
      </c>
      <c r="E368" s="74" t="s">
        <v>1266</v>
      </c>
      <c r="F368" s="74" t="s">
        <v>1268</v>
      </c>
      <c r="G368" s="74" t="s">
        <v>1268</v>
      </c>
    </row>
    <row r="369" spans="1:7" x14ac:dyDescent="0.2">
      <c r="A369" s="40">
        <v>2521</v>
      </c>
      <c r="B369" s="39" t="s">
        <v>1851</v>
      </c>
      <c r="C369" s="40" t="s">
        <v>1281</v>
      </c>
      <c r="D369" s="74" t="s">
        <v>1269</v>
      </c>
      <c r="E369" s="74" t="s">
        <v>1266</v>
      </c>
      <c r="F369" s="74" t="s">
        <v>1268</v>
      </c>
      <c r="G369" s="74" t="s">
        <v>1268</v>
      </c>
    </row>
    <row r="370" spans="1:7" x14ac:dyDescent="0.2">
      <c r="A370" s="40">
        <v>2522</v>
      </c>
      <c r="B370" s="39" t="s">
        <v>1852</v>
      </c>
      <c r="C370" s="40" t="s">
        <v>1281</v>
      </c>
      <c r="D370" s="74" t="s">
        <v>1269</v>
      </c>
      <c r="E370" s="74" t="s">
        <v>1266</v>
      </c>
      <c r="F370" s="74" t="s">
        <v>1268</v>
      </c>
      <c r="G370" s="74" t="s">
        <v>1268</v>
      </c>
    </row>
    <row r="371" spans="1:7" x14ac:dyDescent="0.2">
      <c r="A371" s="40">
        <v>2523</v>
      </c>
      <c r="B371" s="39" t="s">
        <v>1853</v>
      </c>
      <c r="C371" s="40" t="s">
        <v>1281</v>
      </c>
      <c r="D371" s="74" t="s">
        <v>1269</v>
      </c>
      <c r="E371" s="74" t="s">
        <v>1266</v>
      </c>
      <c r="F371" s="74" t="s">
        <v>1268</v>
      </c>
      <c r="G371" s="74" t="s">
        <v>1268</v>
      </c>
    </row>
    <row r="372" spans="1:7" x14ac:dyDescent="0.2">
      <c r="A372" s="40">
        <v>2524</v>
      </c>
      <c r="B372" s="39" t="s">
        <v>1854</v>
      </c>
      <c r="C372" s="40" t="s">
        <v>1281</v>
      </c>
      <c r="D372" s="74" t="s">
        <v>1269</v>
      </c>
      <c r="E372" s="74" t="s">
        <v>1266</v>
      </c>
      <c r="F372" s="74" t="s">
        <v>1268</v>
      </c>
      <c r="G372" s="74" t="s">
        <v>1267</v>
      </c>
    </row>
    <row r="373" spans="1:7" x14ac:dyDescent="0.2">
      <c r="A373" s="40">
        <v>2525</v>
      </c>
      <c r="B373" s="39" t="s">
        <v>1855</v>
      </c>
      <c r="C373" s="40" t="s">
        <v>1281</v>
      </c>
      <c r="D373" s="74" t="s">
        <v>1269</v>
      </c>
      <c r="E373" s="74" t="s">
        <v>1266</v>
      </c>
      <c r="F373" s="74" t="s">
        <v>1268</v>
      </c>
      <c r="G373" s="74" t="s">
        <v>1268</v>
      </c>
    </row>
    <row r="374" spans="1:7" x14ac:dyDescent="0.2">
      <c r="A374" s="40">
        <v>2531</v>
      </c>
      <c r="B374" s="39" t="s">
        <v>1856</v>
      </c>
      <c r="C374" s="40" t="s">
        <v>1281</v>
      </c>
      <c r="D374" s="74" t="s">
        <v>1269</v>
      </c>
      <c r="E374" s="74" t="s">
        <v>1266</v>
      </c>
      <c r="F374" s="74" t="s">
        <v>1268</v>
      </c>
      <c r="G374" s="74" t="s">
        <v>1267</v>
      </c>
    </row>
    <row r="375" spans="1:7" x14ac:dyDescent="0.2">
      <c r="A375" s="40">
        <v>2532</v>
      </c>
      <c r="B375" s="39" t="s">
        <v>1857</v>
      </c>
      <c r="C375" s="40" t="s">
        <v>1281</v>
      </c>
      <c r="D375" s="74" t="s">
        <v>1269</v>
      </c>
      <c r="E375" s="74" t="s">
        <v>1266</v>
      </c>
      <c r="F375" s="74" t="s">
        <v>1268</v>
      </c>
      <c r="G375" s="74" t="s">
        <v>1268</v>
      </c>
    </row>
    <row r="376" spans="1:7" x14ac:dyDescent="0.2">
      <c r="A376" s="40">
        <v>2533</v>
      </c>
      <c r="B376" s="39" t="s">
        <v>1858</v>
      </c>
      <c r="C376" s="40" t="s">
        <v>1281</v>
      </c>
      <c r="D376" s="74" t="s">
        <v>1269</v>
      </c>
      <c r="E376" s="74" t="s">
        <v>1266</v>
      </c>
      <c r="F376" s="74" t="s">
        <v>1268</v>
      </c>
      <c r="G376" s="74" t="s">
        <v>1267</v>
      </c>
    </row>
    <row r="377" spans="1:7" x14ac:dyDescent="0.2">
      <c r="A377" s="40">
        <v>2534</v>
      </c>
      <c r="B377" s="39" t="s">
        <v>1859</v>
      </c>
      <c r="C377" s="40" t="s">
        <v>1281</v>
      </c>
      <c r="D377" s="74" t="s">
        <v>1269</v>
      </c>
      <c r="E377" s="74" t="s">
        <v>1266</v>
      </c>
      <c r="F377" s="74" t="s">
        <v>1268</v>
      </c>
      <c r="G377" s="74" t="s">
        <v>1268</v>
      </c>
    </row>
    <row r="378" spans="1:7" x14ac:dyDescent="0.2">
      <c r="A378" s="40">
        <v>2540</v>
      </c>
      <c r="B378" s="39" t="s">
        <v>1860</v>
      </c>
      <c r="C378" s="40" t="s">
        <v>1281</v>
      </c>
      <c r="D378" s="74" t="s">
        <v>1269</v>
      </c>
      <c r="E378" s="74" t="s">
        <v>1266</v>
      </c>
      <c r="F378" s="74" t="s">
        <v>1268</v>
      </c>
      <c r="G378" s="74" t="s">
        <v>1268</v>
      </c>
    </row>
    <row r="379" spans="1:7" x14ac:dyDescent="0.2">
      <c r="A379" s="40">
        <v>2542</v>
      </c>
      <c r="B379" s="39" t="s">
        <v>1861</v>
      </c>
      <c r="C379" s="40" t="s">
        <v>1281</v>
      </c>
      <c r="D379" s="74" t="s">
        <v>1269</v>
      </c>
      <c r="E379" s="74" t="s">
        <v>1266</v>
      </c>
      <c r="F379" s="74" t="s">
        <v>1268</v>
      </c>
      <c r="G379" s="74" t="s">
        <v>1268</v>
      </c>
    </row>
    <row r="380" spans="1:7" x14ac:dyDescent="0.2">
      <c r="A380" s="40">
        <v>2544</v>
      </c>
      <c r="B380" s="39" t="s">
        <v>1862</v>
      </c>
      <c r="C380" s="40" t="s">
        <v>1281</v>
      </c>
      <c r="D380" s="74" t="s">
        <v>1269</v>
      </c>
      <c r="E380" s="74" t="s">
        <v>1266</v>
      </c>
      <c r="F380" s="74" t="s">
        <v>1268</v>
      </c>
      <c r="G380" s="74" t="s">
        <v>1268</v>
      </c>
    </row>
    <row r="381" spans="1:7" x14ac:dyDescent="0.2">
      <c r="A381" s="40">
        <v>2551</v>
      </c>
      <c r="B381" s="39" t="s">
        <v>1863</v>
      </c>
      <c r="C381" s="40" t="s">
        <v>1281</v>
      </c>
      <c r="D381" s="74" t="s">
        <v>1269</v>
      </c>
      <c r="E381" s="74" t="s">
        <v>1266</v>
      </c>
      <c r="F381" s="74" t="s">
        <v>1268</v>
      </c>
      <c r="G381" s="74" t="s">
        <v>1268</v>
      </c>
    </row>
    <row r="382" spans="1:7" x14ac:dyDescent="0.2">
      <c r="A382" s="40">
        <v>2552</v>
      </c>
      <c r="B382" s="39" t="s">
        <v>1864</v>
      </c>
      <c r="C382" s="40" t="s">
        <v>1281</v>
      </c>
      <c r="D382" s="74" t="s">
        <v>1269</v>
      </c>
      <c r="E382" s="74" t="s">
        <v>1266</v>
      </c>
      <c r="F382" s="74" t="s">
        <v>1268</v>
      </c>
      <c r="G382" s="74" t="s">
        <v>1268</v>
      </c>
    </row>
    <row r="383" spans="1:7" x14ac:dyDescent="0.2">
      <c r="A383" s="40">
        <v>2560</v>
      </c>
      <c r="B383" s="39" t="s">
        <v>1865</v>
      </c>
      <c r="C383" s="40" t="s">
        <v>1281</v>
      </c>
      <c r="D383" s="74" t="s">
        <v>1269</v>
      </c>
      <c r="E383" s="74" t="s">
        <v>1266</v>
      </c>
      <c r="F383" s="74" t="s">
        <v>1268</v>
      </c>
      <c r="G383" s="74" t="s">
        <v>1268</v>
      </c>
    </row>
    <row r="384" spans="1:7" x14ac:dyDescent="0.2">
      <c r="A384" s="40">
        <v>2562</v>
      </c>
      <c r="B384" s="39" t="s">
        <v>1866</v>
      </c>
      <c r="C384" s="40" t="s">
        <v>1281</v>
      </c>
      <c r="D384" s="74" t="s">
        <v>1271</v>
      </c>
      <c r="E384" s="74" t="s">
        <v>1266</v>
      </c>
      <c r="F384" s="74" t="s">
        <v>1267</v>
      </c>
      <c r="G384" s="74" t="s">
        <v>1268</v>
      </c>
    </row>
    <row r="385" spans="1:7" x14ac:dyDescent="0.2">
      <c r="A385" s="40">
        <v>2563</v>
      </c>
      <c r="B385" s="39" t="s">
        <v>1867</v>
      </c>
      <c r="C385" s="40" t="s">
        <v>1281</v>
      </c>
      <c r="D385" s="74" t="s">
        <v>1269</v>
      </c>
      <c r="E385" s="74" t="s">
        <v>1266</v>
      </c>
      <c r="F385" s="74" t="s">
        <v>1268</v>
      </c>
      <c r="G385" s="74" t="s">
        <v>1268</v>
      </c>
    </row>
    <row r="386" spans="1:7" x14ac:dyDescent="0.2">
      <c r="A386" s="40">
        <v>2564</v>
      </c>
      <c r="B386" s="39" t="s">
        <v>1868</v>
      </c>
      <c r="C386" s="40" t="s">
        <v>1281</v>
      </c>
      <c r="D386" s="74" t="s">
        <v>1269</v>
      </c>
      <c r="E386" s="74" t="s">
        <v>1266</v>
      </c>
      <c r="F386" s="74" t="s">
        <v>1268</v>
      </c>
      <c r="G386" s="74" t="s">
        <v>1268</v>
      </c>
    </row>
    <row r="387" spans="1:7" x14ac:dyDescent="0.2">
      <c r="A387" s="40">
        <v>2565</v>
      </c>
      <c r="B387" s="39" t="s">
        <v>1869</v>
      </c>
      <c r="C387" s="40" t="s">
        <v>1281</v>
      </c>
      <c r="D387" s="74" t="s">
        <v>1269</v>
      </c>
      <c r="E387" s="74" t="s">
        <v>1266</v>
      </c>
      <c r="F387" s="74" t="s">
        <v>1268</v>
      </c>
      <c r="G387" s="74" t="s">
        <v>1267</v>
      </c>
    </row>
    <row r="388" spans="1:7" x14ac:dyDescent="0.2">
      <c r="A388" s="40">
        <v>2571</v>
      </c>
      <c r="B388" s="39" t="s">
        <v>1870</v>
      </c>
      <c r="C388" s="40" t="s">
        <v>1281</v>
      </c>
      <c r="D388" s="74" t="s">
        <v>1269</v>
      </c>
      <c r="E388" s="74" t="s">
        <v>1266</v>
      </c>
      <c r="F388" s="74" t="s">
        <v>1268</v>
      </c>
      <c r="G388" s="74" t="s">
        <v>1268</v>
      </c>
    </row>
    <row r="389" spans="1:7" x14ac:dyDescent="0.2">
      <c r="A389" s="40">
        <v>2572</v>
      </c>
      <c r="B389" s="39" t="s">
        <v>1871</v>
      </c>
      <c r="C389" s="40" t="s">
        <v>1281</v>
      </c>
      <c r="D389" s="74" t="s">
        <v>1269</v>
      </c>
      <c r="E389" s="74" t="s">
        <v>1266</v>
      </c>
      <c r="F389" s="74" t="s">
        <v>1268</v>
      </c>
      <c r="G389" s="74" t="s">
        <v>1267</v>
      </c>
    </row>
    <row r="390" spans="1:7" x14ac:dyDescent="0.2">
      <c r="A390" s="40">
        <v>2601</v>
      </c>
      <c r="B390" s="39" t="s">
        <v>1872</v>
      </c>
      <c r="C390" s="40" t="s">
        <v>1281</v>
      </c>
      <c r="D390" s="74" t="s">
        <v>1269</v>
      </c>
      <c r="E390" s="74" t="s">
        <v>1266</v>
      </c>
      <c r="F390" s="74" t="s">
        <v>1268</v>
      </c>
      <c r="G390" s="74" t="s">
        <v>1268</v>
      </c>
    </row>
    <row r="391" spans="1:7" x14ac:dyDescent="0.2">
      <c r="A391" s="40">
        <v>2602</v>
      </c>
      <c r="B391" s="39" t="s">
        <v>1873</v>
      </c>
      <c r="C391" s="40" t="s">
        <v>1281</v>
      </c>
      <c r="D391" s="74" t="s">
        <v>1269</v>
      </c>
      <c r="E391" s="74" t="s">
        <v>1266</v>
      </c>
      <c r="F391" s="74" t="s">
        <v>1268</v>
      </c>
      <c r="G391" s="74" t="s">
        <v>1267</v>
      </c>
    </row>
    <row r="392" spans="1:7" x14ac:dyDescent="0.2">
      <c r="A392" s="40">
        <v>2603</v>
      </c>
      <c r="B392" s="39" t="s">
        <v>1874</v>
      </c>
      <c r="C392" s="40" t="s">
        <v>1281</v>
      </c>
      <c r="D392" s="74" t="s">
        <v>1269</v>
      </c>
      <c r="E392" s="74" t="s">
        <v>1266</v>
      </c>
      <c r="F392" s="74" t="s">
        <v>1268</v>
      </c>
      <c r="G392" s="74" t="s">
        <v>1268</v>
      </c>
    </row>
    <row r="393" spans="1:7" x14ac:dyDescent="0.2">
      <c r="A393" s="40">
        <v>2604</v>
      </c>
      <c r="B393" s="39" t="s">
        <v>1875</v>
      </c>
      <c r="C393" s="40" t="s">
        <v>1281</v>
      </c>
      <c r="D393" s="74" t="s">
        <v>1269</v>
      </c>
      <c r="E393" s="74" t="s">
        <v>1266</v>
      </c>
      <c r="F393" s="74" t="s">
        <v>1268</v>
      </c>
      <c r="G393" s="74" t="s">
        <v>1268</v>
      </c>
    </row>
    <row r="394" spans="1:7" x14ac:dyDescent="0.2">
      <c r="A394" s="40">
        <v>2620</v>
      </c>
      <c r="B394" s="39" t="s">
        <v>1876</v>
      </c>
      <c r="C394" s="40" t="s">
        <v>1281</v>
      </c>
      <c r="D394" s="74" t="s">
        <v>1269</v>
      </c>
      <c r="E394" s="74" t="s">
        <v>1266</v>
      </c>
      <c r="F394" s="74" t="s">
        <v>1268</v>
      </c>
      <c r="G394" s="74" t="s">
        <v>1268</v>
      </c>
    </row>
    <row r="395" spans="1:7" x14ac:dyDescent="0.2">
      <c r="A395" s="40">
        <v>2622</v>
      </c>
      <c r="B395" s="39" t="s">
        <v>1877</v>
      </c>
      <c r="C395" s="40" t="s">
        <v>1281</v>
      </c>
      <c r="D395" s="74" t="s">
        <v>1271</v>
      </c>
      <c r="E395" s="74" t="s">
        <v>1266</v>
      </c>
      <c r="F395" s="74" t="s">
        <v>1267</v>
      </c>
      <c r="G395" s="74" t="s">
        <v>1268</v>
      </c>
    </row>
    <row r="396" spans="1:7" x14ac:dyDescent="0.2">
      <c r="A396" s="40">
        <v>2624</v>
      </c>
      <c r="B396" s="39" t="s">
        <v>1878</v>
      </c>
      <c r="C396" s="40" t="s">
        <v>1281</v>
      </c>
      <c r="D396" s="74" t="s">
        <v>1269</v>
      </c>
      <c r="E396" s="74" t="s">
        <v>1266</v>
      </c>
      <c r="F396" s="74" t="s">
        <v>1268</v>
      </c>
      <c r="G396" s="74" t="s">
        <v>1267</v>
      </c>
    </row>
    <row r="397" spans="1:7" x14ac:dyDescent="0.2">
      <c r="A397" s="40">
        <v>2625</v>
      </c>
      <c r="B397" s="39" t="s">
        <v>1879</v>
      </c>
      <c r="C397" s="40" t="s">
        <v>1281</v>
      </c>
      <c r="D397" s="74" t="s">
        <v>1269</v>
      </c>
      <c r="E397" s="74" t="s">
        <v>1266</v>
      </c>
      <c r="F397" s="74" t="s">
        <v>1268</v>
      </c>
      <c r="G397" s="74" t="s">
        <v>1267</v>
      </c>
    </row>
    <row r="398" spans="1:7" x14ac:dyDescent="0.2">
      <c r="A398" s="40">
        <v>2630</v>
      </c>
      <c r="B398" s="39" t="s">
        <v>1880</v>
      </c>
      <c r="C398" s="40" t="s">
        <v>1281</v>
      </c>
      <c r="D398" s="74" t="s">
        <v>1269</v>
      </c>
      <c r="E398" s="74" t="s">
        <v>1266</v>
      </c>
      <c r="F398" s="74" t="s">
        <v>1268</v>
      </c>
      <c r="G398" s="74" t="s">
        <v>1268</v>
      </c>
    </row>
    <row r="399" spans="1:7" x14ac:dyDescent="0.2">
      <c r="A399" s="40">
        <v>2631</v>
      </c>
      <c r="B399" s="39" t="s">
        <v>1881</v>
      </c>
      <c r="C399" s="40" t="s">
        <v>1281</v>
      </c>
      <c r="D399" s="74" t="s">
        <v>1269</v>
      </c>
      <c r="E399" s="74" t="s">
        <v>1266</v>
      </c>
      <c r="F399" s="74" t="s">
        <v>1268</v>
      </c>
      <c r="G399" s="74" t="s">
        <v>1267</v>
      </c>
    </row>
    <row r="400" spans="1:7" x14ac:dyDescent="0.2">
      <c r="A400" s="40">
        <v>2632</v>
      </c>
      <c r="B400" s="39" t="s">
        <v>1882</v>
      </c>
      <c r="C400" s="40" t="s">
        <v>1281</v>
      </c>
      <c r="D400" s="74" t="s">
        <v>1269</v>
      </c>
      <c r="E400" s="74" t="s">
        <v>1266</v>
      </c>
      <c r="F400" s="74" t="s">
        <v>1268</v>
      </c>
      <c r="G400" s="74" t="s">
        <v>1268</v>
      </c>
    </row>
    <row r="401" spans="1:7" x14ac:dyDescent="0.2">
      <c r="A401" s="40">
        <v>2640</v>
      </c>
      <c r="B401" s="39" t="s">
        <v>1883</v>
      </c>
      <c r="C401" s="40" t="s">
        <v>1281</v>
      </c>
      <c r="D401" s="74" t="s">
        <v>1269</v>
      </c>
      <c r="E401" s="74" t="s">
        <v>1266</v>
      </c>
      <c r="F401" s="74" t="s">
        <v>1268</v>
      </c>
      <c r="G401" s="74" t="s">
        <v>1268</v>
      </c>
    </row>
    <row r="402" spans="1:7" x14ac:dyDescent="0.2">
      <c r="A402" s="40">
        <v>2641</v>
      </c>
      <c r="B402" s="39" t="s">
        <v>1884</v>
      </c>
      <c r="C402" s="40" t="s">
        <v>1281</v>
      </c>
      <c r="D402" s="74" t="s">
        <v>1269</v>
      </c>
      <c r="E402" s="74" t="s">
        <v>1266</v>
      </c>
      <c r="F402" s="74" t="s">
        <v>1268</v>
      </c>
      <c r="G402" s="74" t="s">
        <v>1267</v>
      </c>
    </row>
    <row r="403" spans="1:7" x14ac:dyDescent="0.2">
      <c r="A403" s="40">
        <v>2642</v>
      </c>
      <c r="B403" s="39" t="s">
        <v>1885</v>
      </c>
      <c r="C403" s="40" t="s">
        <v>1281</v>
      </c>
      <c r="D403" s="74" t="s">
        <v>1269</v>
      </c>
      <c r="E403" s="74" t="s">
        <v>1266</v>
      </c>
      <c r="F403" s="74" t="s">
        <v>1268</v>
      </c>
      <c r="G403" s="74" t="s">
        <v>1267</v>
      </c>
    </row>
    <row r="404" spans="1:7" x14ac:dyDescent="0.2">
      <c r="A404" s="40">
        <v>2650</v>
      </c>
      <c r="B404" s="39" t="s">
        <v>1886</v>
      </c>
      <c r="C404" s="40" t="s">
        <v>1281</v>
      </c>
      <c r="D404" s="74" t="s">
        <v>1269</v>
      </c>
      <c r="E404" s="74" t="s">
        <v>1266</v>
      </c>
      <c r="F404" s="74" t="s">
        <v>1268</v>
      </c>
      <c r="G404" s="74" t="s">
        <v>1268</v>
      </c>
    </row>
    <row r="405" spans="1:7" x14ac:dyDescent="0.2">
      <c r="A405" s="40">
        <v>2651</v>
      </c>
      <c r="B405" s="39" t="s">
        <v>1887</v>
      </c>
      <c r="C405" s="40" t="s">
        <v>1281</v>
      </c>
      <c r="D405" s="74" t="s">
        <v>1269</v>
      </c>
      <c r="E405" s="74" t="s">
        <v>1266</v>
      </c>
      <c r="F405" s="74" t="s">
        <v>1268</v>
      </c>
      <c r="G405" s="74" t="s">
        <v>1268</v>
      </c>
    </row>
    <row r="406" spans="1:7" x14ac:dyDescent="0.2">
      <c r="A406" s="40">
        <v>2654</v>
      </c>
      <c r="B406" s="39" t="s">
        <v>1888</v>
      </c>
      <c r="C406" s="40" t="s">
        <v>1281</v>
      </c>
      <c r="D406" s="74" t="s">
        <v>1269</v>
      </c>
      <c r="E406" s="74" t="s">
        <v>1266</v>
      </c>
      <c r="F406" s="74" t="s">
        <v>1268</v>
      </c>
      <c r="G406" s="74" t="s">
        <v>1267</v>
      </c>
    </row>
    <row r="407" spans="1:7" x14ac:dyDescent="0.2">
      <c r="A407" s="40">
        <v>2661</v>
      </c>
      <c r="B407" s="39" t="s">
        <v>1889</v>
      </c>
      <c r="C407" s="40" t="s">
        <v>1281</v>
      </c>
      <c r="D407" s="74" t="s">
        <v>1269</v>
      </c>
      <c r="E407" s="74" t="s">
        <v>1266</v>
      </c>
      <c r="F407" s="74" t="s">
        <v>1268</v>
      </c>
      <c r="G407" s="74" t="s">
        <v>1267</v>
      </c>
    </row>
    <row r="408" spans="1:7" x14ac:dyDescent="0.2">
      <c r="A408" s="40">
        <v>2662</v>
      </c>
      <c r="B408" s="39" t="s">
        <v>1890</v>
      </c>
      <c r="C408" s="40" t="s">
        <v>1281</v>
      </c>
      <c r="D408" s="74" t="s">
        <v>1269</v>
      </c>
      <c r="E408" s="74" t="s">
        <v>1266</v>
      </c>
      <c r="F408" s="74" t="s">
        <v>1268</v>
      </c>
      <c r="G408" s="74" t="s">
        <v>1267</v>
      </c>
    </row>
    <row r="409" spans="1:7" x14ac:dyDescent="0.2">
      <c r="A409" s="40">
        <v>2663</v>
      </c>
      <c r="B409" s="39" t="s">
        <v>1891</v>
      </c>
      <c r="C409" s="40" t="s">
        <v>1281</v>
      </c>
      <c r="D409" s="74" t="s">
        <v>1269</v>
      </c>
      <c r="E409" s="74" t="s">
        <v>1266</v>
      </c>
      <c r="F409" s="74" t="s">
        <v>1268</v>
      </c>
      <c r="G409" s="74" t="s">
        <v>1267</v>
      </c>
    </row>
    <row r="410" spans="1:7" x14ac:dyDescent="0.2">
      <c r="A410" s="40">
        <v>2671</v>
      </c>
      <c r="B410" s="39" t="s">
        <v>1892</v>
      </c>
      <c r="C410" s="40" t="s">
        <v>1281</v>
      </c>
      <c r="D410" s="74" t="s">
        <v>1269</v>
      </c>
      <c r="E410" s="74" t="s">
        <v>1266</v>
      </c>
      <c r="F410" s="74" t="s">
        <v>1268</v>
      </c>
      <c r="G410" s="74" t="s">
        <v>1267</v>
      </c>
    </row>
    <row r="411" spans="1:7" x14ac:dyDescent="0.2">
      <c r="A411" s="40">
        <v>2673</v>
      </c>
      <c r="B411" s="39" t="s">
        <v>1893</v>
      </c>
      <c r="C411" s="40" t="s">
        <v>1281</v>
      </c>
      <c r="D411" s="74" t="s">
        <v>1269</v>
      </c>
      <c r="E411" s="74" t="s">
        <v>1266</v>
      </c>
      <c r="F411" s="74" t="s">
        <v>1268</v>
      </c>
      <c r="G411" s="74" t="s">
        <v>1267</v>
      </c>
    </row>
    <row r="412" spans="1:7" x14ac:dyDescent="0.2">
      <c r="A412" s="40">
        <v>2680</v>
      </c>
      <c r="B412" s="39" t="s">
        <v>1894</v>
      </c>
      <c r="C412" s="40" t="s">
        <v>1281</v>
      </c>
      <c r="D412" s="74" t="s">
        <v>1269</v>
      </c>
      <c r="E412" s="74" t="s">
        <v>1266</v>
      </c>
      <c r="F412" s="74" t="s">
        <v>1268</v>
      </c>
      <c r="G412" s="74" t="s">
        <v>1267</v>
      </c>
    </row>
    <row r="413" spans="1:7" x14ac:dyDescent="0.2">
      <c r="A413" s="40">
        <v>2700</v>
      </c>
      <c r="B413" s="39" t="s">
        <v>1246</v>
      </c>
      <c r="C413" s="40" t="s">
        <v>1281</v>
      </c>
      <c r="D413" s="74" t="s">
        <v>1269</v>
      </c>
      <c r="E413" s="74" t="s">
        <v>1266</v>
      </c>
      <c r="F413" s="74" t="s">
        <v>1268</v>
      </c>
      <c r="G413" s="74" t="s">
        <v>1268</v>
      </c>
    </row>
    <row r="414" spans="1:7" x14ac:dyDescent="0.2">
      <c r="A414" s="40">
        <v>2702</v>
      </c>
      <c r="B414" s="39" t="s">
        <v>1246</v>
      </c>
      <c r="C414" s="40" t="s">
        <v>1281</v>
      </c>
      <c r="D414" s="74" t="s">
        <v>1271</v>
      </c>
      <c r="E414" s="74" t="s">
        <v>1266</v>
      </c>
      <c r="F414" s="74" t="s">
        <v>1267</v>
      </c>
      <c r="G414" s="74" t="s">
        <v>1268</v>
      </c>
    </row>
    <row r="415" spans="1:7" x14ac:dyDescent="0.2">
      <c r="A415" s="40">
        <v>2704</v>
      </c>
      <c r="B415" s="39" t="s">
        <v>1246</v>
      </c>
      <c r="C415" s="40" t="s">
        <v>1281</v>
      </c>
      <c r="D415" s="74" t="s">
        <v>1271</v>
      </c>
      <c r="E415" s="74" t="s">
        <v>1266</v>
      </c>
      <c r="F415" s="74" t="s">
        <v>1267</v>
      </c>
      <c r="G415" s="74" t="s">
        <v>1268</v>
      </c>
    </row>
    <row r="416" spans="1:7" x14ac:dyDescent="0.2">
      <c r="A416" s="40">
        <v>2705</v>
      </c>
      <c r="B416" s="39" t="s">
        <v>1246</v>
      </c>
      <c r="C416" s="40" t="s">
        <v>1281</v>
      </c>
      <c r="D416" s="74" t="s">
        <v>1271</v>
      </c>
      <c r="E416" s="74" t="s">
        <v>1266</v>
      </c>
      <c r="F416" s="74" t="s">
        <v>1267</v>
      </c>
      <c r="G416" s="74" t="s">
        <v>1268</v>
      </c>
    </row>
    <row r="417" spans="1:7" x14ac:dyDescent="0.2">
      <c r="A417" s="40">
        <v>2706</v>
      </c>
      <c r="B417" s="39" t="s">
        <v>1246</v>
      </c>
      <c r="C417" s="40" t="s">
        <v>1281</v>
      </c>
      <c r="D417" s="74" t="s">
        <v>1265</v>
      </c>
      <c r="E417" s="74" t="s">
        <v>1266</v>
      </c>
      <c r="F417" s="74" t="s">
        <v>1267</v>
      </c>
      <c r="G417" s="74" t="s">
        <v>1268</v>
      </c>
    </row>
    <row r="418" spans="1:7" x14ac:dyDescent="0.2">
      <c r="A418" s="40">
        <v>2721</v>
      </c>
      <c r="B418" s="39" t="s">
        <v>1895</v>
      </c>
      <c r="C418" s="40" t="s">
        <v>1281</v>
      </c>
      <c r="D418" s="74" t="s">
        <v>1269</v>
      </c>
      <c r="E418" s="74" t="s">
        <v>1266</v>
      </c>
      <c r="F418" s="74" t="s">
        <v>1268</v>
      </c>
      <c r="G418" s="74" t="s">
        <v>1268</v>
      </c>
    </row>
    <row r="419" spans="1:7" x14ac:dyDescent="0.2">
      <c r="A419" s="40">
        <v>2722</v>
      </c>
      <c r="B419" s="39" t="s">
        <v>1896</v>
      </c>
      <c r="C419" s="40" t="s">
        <v>1281</v>
      </c>
      <c r="D419" s="74" t="s">
        <v>1269</v>
      </c>
      <c r="E419" s="74" t="s">
        <v>1266</v>
      </c>
      <c r="F419" s="74" t="s">
        <v>1268</v>
      </c>
      <c r="G419" s="74" t="s">
        <v>1268</v>
      </c>
    </row>
    <row r="420" spans="1:7" x14ac:dyDescent="0.2">
      <c r="A420" s="40">
        <v>2723</v>
      </c>
      <c r="B420" s="39" t="s">
        <v>1897</v>
      </c>
      <c r="C420" s="40" t="s">
        <v>1281</v>
      </c>
      <c r="D420" s="74" t="s">
        <v>1269</v>
      </c>
      <c r="E420" s="74" t="s">
        <v>1266</v>
      </c>
      <c r="F420" s="74" t="s">
        <v>1268</v>
      </c>
      <c r="G420" s="74" t="s">
        <v>1267</v>
      </c>
    </row>
    <row r="421" spans="1:7" x14ac:dyDescent="0.2">
      <c r="A421" s="40">
        <v>2724</v>
      </c>
      <c r="B421" s="39" t="s">
        <v>1898</v>
      </c>
      <c r="C421" s="40" t="s">
        <v>1281</v>
      </c>
      <c r="D421" s="74" t="s">
        <v>1269</v>
      </c>
      <c r="E421" s="74" t="s">
        <v>1266</v>
      </c>
      <c r="F421" s="74" t="s">
        <v>1268</v>
      </c>
      <c r="G421" s="74" t="s">
        <v>1267</v>
      </c>
    </row>
    <row r="422" spans="1:7" x14ac:dyDescent="0.2">
      <c r="A422" s="40">
        <v>2731</v>
      </c>
      <c r="B422" s="39" t="s">
        <v>1899</v>
      </c>
      <c r="C422" s="40" t="s">
        <v>1281</v>
      </c>
      <c r="D422" s="74" t="s">
        <v>1269</v>
      </c>
      <c r="E422" s="74" t="s">
        <v>1266</v>
      </c>
      <c r="F422" s="74" t="s">
        <v>1268</v>
      </c>
      <c r="G422" s="74" t="s">
        <v>1267</v>
      </c>
    </row>
    <row r="423" spans="1:7" x14ac:dyDescent="0.2">
      <c r="A423" s="40">
        <v>2732</v>
      </c>
      <c r="B423" s="39" t="s">
        <v>1900</v>
      </c>
      <c r="C423" s="40" t="s">
        <v>1281</v>
      </c>
      <c r="D423" s="74" t="s">
        <v>1269</v>
      </c>
      <c r="E423" s="74" t="s">
        <v>1266</v>
      </c>
      <c r="F423" s="74" t="s">
        <v>1268</v>
      </c>
      <c r="G423" s="74" t="s">
        <v>1268</v>
      </c>
    </row>
    <row r="424" spans="1:7" x14ac:dyDescent="0.2">
      <c r="A424" s="40">
        <v>2733</v>
      </c>
      <c r="B424" s="39" t="s">
        <v>1901</v>
      </c>
      <c r="C424" s="40" t="s">
        <v>1281</v>
      </c>
      <c r="D424" s="74" t="s">
        <v>1269</v>
      </c>
      <c r="E424" s="74" t="s">
        <v>1266</v>
      </c>
      <c r="F424" s="74" t="s">
        <v>1268</v>
      </c>
      <c r="G424" s="74" t="s">
        <v>1268</v>
      </c>
    </row>
    <row r="425" spans="1:7" x14ac:dyDescent="0.2">
      <c r="A425" s="40">
        <v>2734</v>
      </c>
      <c r="B425" s="39" t="s">
        <v>1902</v>
      </c>
      <c r="C425" s="40" t="s">
        <v>1281</v>
      </c>
      <c r="D425" s="74" t="s">
        <v>1269</v>
      </c>
      <c r="E425" s="74" t="s">
        <v>1266</v>
      </c>
      <c r="F425" s="74" t="s">
        <v>1268</v>
      </c>
      <c r="G425" s="74" t="s">
        <v>1268</v>
      </c>
    </row>
    <row r="426" spans="1:7" x14ac:dyDescent="0.2">
      <c r="A426" s="40">
        <v>2751</v>
      </c>
      <c r="B426" s="39" t="s">
        <v>1903</v>
      </c>
      <c r="C426" s="40" t="s">
        <v>1281</v>
      </c>
      <c r="D426" s="74" t="s">
        <v>1269</v>
      </c>
      <c r="E426" s="74" t="s">
        <v>1266</v>
      </c>
      <c r="F426" s="74" t="s">
        <v>1268</v>
      </c>
      <c r="G426" s="74" t="s">
        <v>1268</v>
      </c>
    </row>
    <row r="427" spans="1:7" x14ac:dyDescent="0.2">
      <c r="A427" s="40">
        <v>2752</v>
      </c>
      <c r="B427" s="39" t="s">
        <v>1904</v>
      </c>
      <c r="C427" s="40" t="s">
        <v>1281</v>
      </c>
      <c r="D427" s="74" t="s">
        <v>1269</v>
      </c>
      <c r="E427" s="74" t="s">
        <v>1266</v>
      </c>
      <c r="F427" s="74" t="s">
        <v>1268</v>
      </c>
      <c r="G427" s="74" t="s">
        <v>1268</v>
      </c>
    </row>
    <row r="428" spans="1:7" x14ac:dyDescent="0.2">
      <c r="A428" s="40">
        <v>2753</v>
      </c>
      <c r="B428" s="39" t="s">
        <v>1905</v>
      </c>
      <c r="C428" s="40" t="s">
        <v>1281</v>
      </c>
      <c r="D428" s="74" t="s">
        <v>1269</v>
      </c>
      <c r="E428" s="74" t="s">
        <v>1266</v>
      </c>
      <c r="F428" s="74" t="s">
        <v>1268</v>
      </c>
      <c r="G428" s="74" t="s">
        <v>1268</v>
      </c>
    </row>
    <row r="429" spans="1:7" x14ac:dyDescent="0.2">
      <c r="A429" s="40">
        <v>2754</v>
      </c>
      <c r="B429" s="39" t="s">
        <v>1906</v>
      </c>
      <c r="C429" s="40" t="s">
        <v>1281</v>
      </c>
      <c r="D429" s="74" t="s">
        <v>1269</v>
      </c>
      <c r="E429" s="74" t="s">
        <v>1266</v>
      </c>
      <c r="F429" s="74" t="s">
        <v>1268</v>
      </c>
      <c r="G429" s="74" t="s">
        <v>1268</v>
      </c>
    </row>
    <row r="430" spans="1:7" x14ac:dyDescent="0.2">
      <c r="A430" s="40">
        <v>2755</v>
      </c>
      <c r="B430" s="39" t="s">
        <v>1907</v>
      </c>
      <c r="C430" s="40" t="s">
        <v>1281</v>
      </c>
      <c r="D430" s="74" t="s">
        <v>1269</v>
      </c>
      <c r="E430" s="74" t="s">
        <v>1266</v>
      </c>
      <c r="F430" s="74" t="s">
        <v>1268</v>
      </c>
      <c r="G430" s="74" t="s">
        <v>1267</v>
      </c>
    </row>
    <row r="431" spans="1:7" x14ac:dyDescent="0.2">
      <c r="A431" s="40">
        <v>2761</v>
      </c>
      <c r="B431" s="39" t="s">
        <v>1908</v>
      </c>
      <c r="C431" s="40" t="s">
        <v>1281</v>
      </c>
      <c r="D431" s="74" t="s">
        <v>1269</v>
      </c>
      <c r="E431" s="74" t="s">
        <v>1266</v>
      </c>
      <c r="F431" s="74" t="s">
        <v>1268</v>
      </c>
      <c r="G431" s="74" t="s">
        <v>1267</v>
      </c>
    </row>
    <row r="432" spans="1:7" x14ac:dyDescent="0.2">
      <c r="A432" s="40">
        <v>2763</v>
      </c>
      <c r="B432" s="39" t="s">
        <v>1909</v>
      </c>
      <c r="C432" s="40" t="s">
        <v>1281</v>
      </c>
      <c r="D432" s="74" t="s">
        <v>1269</v>
      </c>
      <c r="E432" s="74" t="s">
        <v>1266</v>
      </c>
      <c r="F432" s="74" t="s">
        <v>1268</v>
      </c>
      <c r="G432" s="74" t="s">
        <v>1268</v>
      </c>
    </row>
    <row r="433" spans="1:7" x14ac:dyDescent="0.2">
      <c r="A433" s="40">
        <v>2770</v>
      </c>
      <c r="B433" s="39" t="s">
        <v>1910</v>
      </c>
      <c r="C433" s="40" t="s">
        <v>1281</v>
      </c>
      <c r="D433" s="74" t="s">
        <v>1269</v>
      </c>
      <c r="E433" s="74" t="s">
        <v>1266</v>
      </c>
      <c r="F433" s="74" t="s">
        <v>1268</v>
      </c>
      <c r="G433" s="74" t="s">
        <v>1267</v>
      </c>
    </row>
    <row r="434" spans="1:7" x14ac:dyDescent="0.2">
      <c r="A434" s="40">
        <v>2801</v>
      </c>
      <c r="B434" s="39" t="s">
        <v>1911</v>
      </c>
      <c r="C434" s="40" t="s">
        <v>1281</v>
      </c>
      <c r="D434" s="74" t="s">
        <v>1269</v>
      </c>
      <c r="E434" s="74" t="s">
        <v>1266</v>
      </c>
      <c r="F434" s="74" t="s">
        <v>1268</v>
      </c>
      <c r="G434" s="74" t="s">
        <v>1267</v>
      </c>
    </row>
    <row r="435" spans="1:7" x14ac:dyDescent="0.2">
      <c r="A435" s="40">
        <v>2802</v>
      </c>
      <c r="B435" s="39" t="s">
        <v>1912</v>
      </c>
      <c r="C435" s="40" t="s">
        <v>1281</v>
      </c>
      <c r="D435" s="74" t="s">
        <v>1269</v>
      </c>
      <c r="E435" s="74" t="s">
        <v>1266</v>
      </c>
      <c r="F435" s="74" t="s">
        <v>1268</v>
      </c>
      <c r="G435" s="74" t="s">
        <v>1267</v>
      </c>
    </row>
    <row r="436" spans="1:7" x14ac:dyDescent="0.2">
      <c r="A436" s="40">
        <v>2803</v>
      </c>
      <c r="B436" s="39" t="s">
        <v>1913</v>
      </c>
      <c r="C436" s="40" t="s">
        <v>1281</v>
      </c>
      <c r="D436" s="74" t="s">
        <v>1269</v>
      </c>
      <c r="E436" s="74" t="s">
        <v>1266</v>
      </c>
      <c r="F436" s="74" t="s">
        <v>1268</v>
      </c>
      <c r="G436" s="74" t="s">
        <v>1267</v>
      </c>
    </row>
    <row r="437" spans="1:7" x14ac:dyDescent="0.2">
      <c r="A437" s="40">
        <v>2811</v>
      </c>
      <c r="B437" s="39" t="s">
        <v>1914</v>
      </c>
      <c r="C437" s="40" t="s">
        <v>1281</v>
      </c>
      <c r="D437" s="74" t="s">
        <v>1269</v>
      </c>
      <c r="E437" s="74" t="s">
        <v>1266</v>
      </c>
      <c r="F437" s="74" t="s">
        <v>1268</v>
      </c>
      <c r="G437" s="74" t="s">
        <v>1268</v>
      </c>
    </row>
    <row r="438" spans="1:7" x14ac:dyDescent="0.2">
      <c r="A438" s="40">
        <v>2812</v>
      </c>
      <c r="B438" s="39" t="s">
        <v>1915</v>
      </c>
      <c r="C438" s="40" t="s">
        <v>1281</v>
      </c>
      <c r="D438" s="74" t="s">
        <v>1269</v>
      </c>
      <c r="E438" s="74" t="s">
        <v>1266</v>
      </c>
      <c r="F438" s="74" t="s">
        <v>1268</v>
      </c>
      <c r="G438" s="74" t="s">
        <v>1267</v>
      </c>
    </row>
    <row r="439" spans="1:7" x14ac:dyDescent="0.2">
      <c r="A439" s="40">
        <v>2813</v>
      </c>
      <c r="B439" s="39" t="s">
        <v>1916</v>
      </c>
      <c r="C439" s="40" t="s">
        <v>1281</v>
      </c>
      <c r="D439" s="74" t="s">
        <v>1269</v>
      </c>
      <c r="E439" s="74" t="s">
        <v>1266</v>
      </c>
      <c r="F439" s="74" t="s">
        <v>1268</v>
      </c>
      <c r="G439" s="74" t="s">
        <v>1267</v>
      </c>
    </row>
    <row r="440" spans="1:7" x14ac:dyDescent="0.2">
      <c r="A440" s="40">
        <v>2821</v>
      </c>
      <c r="B440" s="39" t="s">
        <v>1917</v>
      </c>
      <c r="C440" s="40" t="s">
        <v>1281</v>
      </c>
      <c r="D440" s="74" t="s">
        <v>1269</v>
      </c>
      <c r="E440" s="74" t="s">
        <v>1266</v>
      </c>
      <c r="F440" s="74" t="s">
        <v>1268</v>
      </c>
      <c r="G440" s="74" t="s">
        <v>1268</v>
      </c>
    </row>
    <row r="441" spans="1:7" x14ac:dyDescent="0.2">
      <c r="A441" s="40">
        <v>2822</v>
      </c>
      <c r="B441" s="39" t="s">
        <v>1918</v>
      </c>
      <c r="C441" s="40" t="s">
        <v>1281</v>
      </c>
      <c r="D441" s="74" t="s">
        <v>1269</v>
      </c>
      <c r="E441" s="74" t="s">
        <v>1266</v>
      </c>
      <c r="F441" s="74" t="s">
        <v>1268</v>
      </c>
      <c r="G441" s="74" t="s">
        <v>1268</v>
      </c>
    </row>
    <row r="442" spans="1:7" x14ac:dyDescent="0.2">
      <c r="A442" s="40">
        <v>2823</v>
      </c>
      <c r="B442" s="39" t="s">
        <v>1919</v>
      </c>
      <c r="C442" s="40" t="s">
        <v>1281</v>
      </c>
      <c r="D442" s="74" t="s">
        <v>1269</v>
      </c>
      <c r="E442" s="74" t="s">
        <v>1266</v>
      </c>
      <c r="F442" s="74" t="s">
        <v>1268</v>
      </c>
      <c r="G442" s="74" t="s">
        <v>1268</v>
      </c>
    </row>
    <row r="443" spans="1:7" x14ac:dyDescent="0.2">
      <c r="A443" s="40">
        <v>2824</v>
      </c>
      <c r="B443" s="39" t="s">
        <v>1920</v>
      </c>
      <c r="C443" s="40" t="s">
        <v>1281</v>
      </c>
      <c r="D443" s="74" t="s">
        <v>1269</v>
      </c>
      <c r="E443" s="74" t="s">
        <v>1266</v>
      </c>
      <c r="F443" s="74" t="s">
        <v>1268</v>
      </c>
      <c r="G443" s="74" t="s">
        <v>1267</v>
      </c>
    </row>
    <row r="444" spans="1:7" x14ac:dyDescent="0.2">
      <c r="A444" s="40">
        <v>2831</v>
      </c>
      <c r="B444" s="39" t="s">
        <v>1921</v>
      </c>
      <c r="C444" s="40" t="s">
        <v>1281</v>
      </c>
      <c r="D444" s="74" t="s">
        <v>1269</v>
      </c>
      <c r="E444" s="74" t="s">
        <v>1266</v>
      </c>
      <c r="F444" s="74" t="s">
        <v>1268</v>
      </c>
      <c r="G444" s="74" t="s">
        <v>1268</v>
      </c>
    </row>
    <row r="445" spans="1:7" x14ac:dyDescent="0.2">
      <c r="A445" s="40">
        <v>2832</v>
      </c>
      <c r="B445" s="39" t="s">
        <v>1922</v>
      </c>
      <c r="C445" s="40" t="s">
        <v>1281</v>
      </c>
      <c r="D445" s="74" t="s">
        <v>1269</v>
      </c>
      <c r="E445" s="74" t="s">
        <v>1266</v>
      </c>
      <c r="F445" s="74" t="s">
        <v>1268</v>
      </c>
      <c r="G445" s="74" t="s">
        <v>1267</v>
      </c>
    </row>
    <row r="446" spans="1:7" x14ac:dyDescent="0.2">
      <c r="A446" s="40">
        <v>2833</v>
      </c>
      <c r="B446" s="39" t="s">
        <v>1923</v>
      </c>
      <c r="C446" s="40" t="s">
        <v>1281</v>
      </c>
      <c r="D446" s="74" t="s">
        <v>1269</v>
      </c>
      <c r="E446" s="74" t="s">
        <v>1266</v>
      </c>
      <c r="F446" s="74" t="s">
        <v>1268</v>
      </c>
      <c r="G446" s="74" t="s">
        <v>1267</v>
      </c>
    </row>
    <row r="447" spans="1:7" x14ac:dyDescent="0.2">
      <c r="A447" s="40">
        <v>2840</v>
      </c>
      <c r="B447" s="39" t="s">
        <v>1924</v>
      </c>
      <c r="C447" s="40" t="s">
        <v>1281</v>
      </c>
      <c r="D447" s="74" t="s">
        <v>1269</v>
      </c>
      <c r="E447" s="74" t="s">
        <v>1266</v>
      </c>
      <c r="F447" s="74" t="s">
        <v>1268</v>
      </c>
      <c r="G447" s="74" t="s">
        <v>1268</v>
      </c>
    </row>
    <row r="448" spans="1:7" x14ac:dyDescent="0.2">
      <c r="A448" s="40">
        <v>2842</v>
      </c>
      <c r="B448" s="39" t="s">
        <v>1925</v>
      </c>
      <c r="C448" s="40" t="s">
        <v>1281</v>
      </c>
      <c r="D448" s="74" t="s">
        <v>1269</v>
      </c>
      <c r="E448" s="74" t="s">
        <v>1266</v>
      </c>
      <c r="F448" s="74" t="s">
        <v>1268</v>
      </c>
      <c r="G448" s="74" t="s">
        <v>1267</v>
      </c>
    </row>
    <row r="449" spans="1:7" x14ac:dyDescent="0.2">
      <c r="A449" s="40">
        <v>2851</v>
      </c>
      <c r="B449" s="39" t="s">
        <v>1926</v>
      </c>
      <c r="C449" s="40" t="s">
        <v>1281</v>
      </c>
      <c r="D449" s="74" t="s">
        <v>1269</v>
      </c>
      <c r="E449" s="74" t="s">
        <v>1266</v>
      </c>
      <c r="F449" s="74" t="s">
        <v>1268</v>
      </c>
      <c r="G449" s="74" t="s">
        <v>1268</v>
      </c>
    </row>
    <row r="450" spans="1:7" x14ac:dyDescent="0.2">
      <c r="A450" s="40">
        <v>2852</v>
      </c>
      <c r="B450" s="39" t="s">
        <v>1927</v>
      </c>
      <c r="C450" s="40" t="s">
        <v>1281</v>
      </c>
      <c r="D450" s="74" t="s">
        <v>1269</v>
      </c>
      <c r="E450" s="74" t="s">
        <v>1266</v>
      </c>
      <c r="F450" s="74" t="s">
        <v>1268</v>
      </c>
      <c r="G450" s="74" t="s">
        <v>1267</v>
      </c>
    </row>
    <row r="451" spans="1:7" x14ac:dyDescent="0.2">
      <c r="A451" s="40">
        <v>2853</v>
      </c>
      <c r="B451" s="39" t="s">
        <v>1928</v>
      </c>
      <c r="C451" s="40" t="s">
        <v>1281</v>
      </c>
      <c r="D451" s="74" t="s">
        <v>1269</v>
      </c>
      <c r="E451" s="74" t="s">
        <v>1266</v>
      </c>
      <c r="F451" s="74" t="s">
        <v>1268</v>
      </c>
      <c r="G451" s="74" t="s">
        <v>1267</v>
      </c>
    </row>
    <row r="452" spans="1:7" x14ac:dyDescent="0.2">
      <c r="A452" s="40">
        <v>2860</v>
      </c>
      <c r="B452" s="39" t="s">
        <v>1929</v>
      </c>
      <c r="C452" s="40" t="s">
        <v>1281</v>
      </c>
      <c r="D452" s="74" t="s">
        <v>1269</v>
      </c>
      <c r="E452" s="74" t="s">
        <v>1266</v>
      </c>
      <c r="F452" s="74" t="s">
        <v>1268</v>
      </c>
      <c r="G452" s="74" t="s">
        <v>1268</v>
      </c>
    </row>
    <row r="453" spans="1:7" x14ac:dyDescent="0.2">
      <c r="A453" s="40">
        <v>2870</v>
      </c>
      <c r="B453" s="39" t="s">
        <v>1930</v>
      </c>
      <c r="C453" s="40" t="s">
        <v>1281</v>
      </c>
      <c r="D453" s="74" t="s">
        <v>1269</v>
      </c>
      <c r="E453" s="74" t="s">
        <v>1266</v>
      </c>
      <c r="F453" s="74" t="s">
        <v>1268</v>
      </c>
      <c r="G453" s="74" t="s">
        <v>1268</v>
      </c>
    </row>
    <row r="454" spans="1:7" x14ac:dyDescent="0.2">
      <c r="A454" s="40">
        <v>2871</v>
      </c>
      <c r="B454" s="39" t="s">
        <v>1931</v>
      </c>
      <c r="C454" s="40" t="s">
        <v>1281</v>
      </c>
      <c r="D454" s="74" t="s">
        <v>1269</v>
      </c>
      <c r="E454" s="74" t="s">
        <v>1266</v>
      </c>
      <c r="F454" s="74" t="s">
        <v>1268</v>
      </c>
      <c r="G454" s="74" t="s">
        <v>1267</v>
      </c>
    </row>
    <row r="455" spans="1:7" x14ac:dyDescent="0.2">
      <c r="A455" s="40">
        <v>2872</v>
      </c>
      <c r="B455" s="39" t="s">
        <v>227</v>
      </c>
      <c r="C455" s="40" t="s">
        <v>1281</v>
      </c>
      <c r="D455" s="74" t="s">
        <v>1269</v>
      </c>
      <c r="E455" s="74" t="s">
        <v>1266</v>
      </c>
      <c r="F455" s="74" t="s">
        <v>1268</v>
      </c>
      <c r="G455" s="74" t="s">
        <v>1267</v>
      </c>
    </row>
    <row r="456" spans="1:7" x14ac:dyDescent="0.2">
      <c r="A456" s="40">
        <v>2873</v>
      </c>
      <c r="B456" s="39" t="s">
        <v>1932</v>
      </c>
      <c r="C456" s="40" t="s">
        <v>1281</v>
      </c>
      <c r="D456" s="74" t="s">
        <v>1269</v>
      </c>
      <c r="E456" s="74" t="s">
        <v>1266</v>
      </c>
      <c r="F456" s="74" t="s">
        <v>1268</v>
      </c>
      <c r="G456" s="74" t="s">
        <v>1267</v>
      </c>
    </row>
    <row r="457" spans="1:7" x14ac:dyDescent="0.2">
      <c r="A457" s="40">
        <v>2880</v>
      </c>
      <c r="B457" s="39" t="s">
        <v>1933</v>
      </c>
      <c r="C457" s="40" t="s">
        <v>1281</v>
      </c>
      <c r="D457" s="74" t="s">
        <v>1269</v>
      </c>
      <c r="E457" s="74" t="s">
        <v>1266</v>
      </c>
      <c r="F457" s="74" t="s">
        <v>1268</v>
      </c>
      <c r="G457" s="74" t="s">
        <v>1268</v>
      </c>
    </row>
    <row r="458" spans="1:7" x14ac:dyDescent="0.2">
      <c r="A458" s="40">
        <v>2881</v>
      </c>
      <c r="B458" s="39" t="s">
        <v>1934</v>
      </c>
      <c r="C458" s="40" t="s">
        <v>1281</v>
      </c>
      <c r="D458" s="74" t="s">
        <v>1269</v>
      </c>
      <c r="E458" s="74" t="s">
        <v>1266</v>
      </c>
      <c r="F458" s="74" t="s">
        <v>1268</v>
      </c>
      <c r="G458" s="74" t="s">
        <v>1267</v>
      </c>
    </row>
    <row r="459" spans="1:7" x14ac:dyDescent="0.2">
      <c r="A459" s="40">
        <v>3001</v>
      </c>
      <c r="B459" s="39" t="s">
        <v>1935</v>
      </c>
      <c r="C459" s="40" t="s">
        <v>1281</v>
      </c>
      <c r="D459" s="74" t="s">
        <v>1269</v>
      </c>
      <c r="E459" s="74" t="s">
        <v>1266</v>
      </c>
      <c r="F459" s="74" t="s">
        <v>1268</v>
      </c>
      <c r="G459" s="74" t="s">
        <v>1268</v>
      </c>
    </row>
    <row r="460" spans="1:7" x14ac:dyDescent="0.2">
      <c r="A460" s="40">
        <v>3002</v>
      </c>
      <c r="B460" s="39" t="s">
        <v>1936</v>
      </c>
      <c r="C460" s="40" t="s">
        <v>1281</v>
      </c>
      <c r="D460" s="74" t="s">
        <v>1269</v>
      </c>
      <c r="E460" s="74" t="s">
        <v>1266</v>
      </c>
      <c r="F460" s="74" t="s">
        <v>1268</v>
      </c>
      <c r="G460" s="74" t="s">
        <v>1268</v>
      </c>
    </row>
    <row r="461" spans="1:7" x14ac:dyDescent="0.2">
      <c r="A461" s="40">
        <v>3003</v>
      </c>
      <c r="B461" s="39" t="s">
        <v>1937</v>
      </c>
      <c r="C461" s="40" t="s">
        <v>1281</v>
      </c>
      <c r="D461" s="74" t="s">
        <v>1269</v>
      </c>
      <c r="E461" s="74" t="s">
        <v>1266</v>
      </c>
      <c r="F461" s="74" t="s">
        <v>1268</v>
      </c>
      <c r="G461" s="74" t="s">
        <v>1268</v>
      </c>
    </row>
    <row r="462" spans="1:7" x14ac:dyDescent="0.2">
      <c r="A462" s="40">
        <v>3004</v>
      </c>
      <c r="B462" s="39" t="s">
        <v>1938</v>
      </c>
      <c r="C462" s="40" t="s">
        <v>1281</v>
      </c>
      <c r="D462" s="74" t="s">
        <v>1269</v>
      </c>
      <c r="E462" s="74" t="s">
        <v>1266</v>
      </c>
      <c r="F462" s="74" t="s">
        <v>1268</v>
      </c>
      <c r="G462" s="74" t="s">
        <v>1267</v>
      </c>
    </row>
    <row r="463" spans="1:7" x14ac:dyDescent="0.2">
      <c r="A463" s="40">
        <v>3011</v>
      </c>
      <c r="B463" s="39" t="s">
        <v>1939</v>
      </c>
      <c r="C463" s="40" t="s">
        <v>1281</v>
      </c>
      <c r="D463" s="74" t="s">
        <v>1269</v>
      </c>
      <c r="E463" s="74" t="s">
        <v>1266</v>
      </c>
      <c r="F463" s="74" t="s">
        <v>1268</v>
      </c>
      <c r="G463" s="74" t="s">
        <v>1268</v>
      </c>
    </row>
    <row r="464" spans="1:7" x14ac:dyDescent="0.2">
      <c r="A464" s="40">
        <v>3012</v>
      </c>
      <c r="B464" s="39" t="s">
        <v>1940</v>
      </c>
      <c r="C464" s="40" t="s">
        <v>1281</v>
      </c>
      <c r="D464" s="74" t="s">
        <v>1269</v>
      </c>
      <c r="E464" s="74" t="s">
        <v>1266</v>
      </c>
      <c r="F464" s="74" t="s">
        <v>1268</v>
      </c>
      <c r="G464" s="74" t="s">
        <v>1268</v>
      </c>
    </row>
    <row r="465" spans="1:7" x14ac:dyDescent="0.2">
      <c r="A465" s="40">
        <v>3013</v>
      </c>
      <c r="B465" s="39" t="s">
        <v>1941</v>
      </c>
      <c r="C465" s="40" t="s">
        <v>1281</v>
      </c>
      <c r="D465" s="74" t="s">
        <v>1269</v>
      </c>
      <c r="E465" s="74" t="s">
        <v>1266</v>
      </c>
      <c r="F465" s="74" t="s">
        <v>1268</v>
      </c>
      <c r="G465" s="74" t="s">
        <v>1268</v>
      </c>
    </row>
    <row r="466" spans="1:7" x14ac:dyDescent="0.2">
      <c r="A466" s="40">
        <v>3021</v>
      </c>
      <c r="B466" s="39" t="s">
        <v>1942</v>
      </c>
      <c r="C466" s="40" t="s">
        <v>1281</v>
      </c>
      <c r="D466" s="74" t="s">
        <v>1269</v>
      </c>
      <c r="E466" s="74" t="s">
        <v>1266</v>
      </c>
      <c r="F466" s="74" t="s">
        <v>1268</v>
      </c>
      <c r="G466" s="74" t="s">
        <v>1268</v>
      </c>
    </row>
    <row r="467" spans="1:7" x14ac:dyDescent="0.2">
      <c r="A467" s="40">
        <v>3031</v>
      </c>
      <c r="B467" s="39" t="s">
        <v>1943</v>
      </c>
      <c r="C467" s="40" t="s">
        <v>1281</v>
      </c>
      <c r="D467" s="74" t="s">
        <v>1269</v>
      </c>
      <c r="E467" s="74" t="s">
        <v>1266</v>
      </c>
      <c r="F467" s="74" t="s">
        <v>1268</v>
      </c>
      <c r="G467" s="74" t="s">
        <v>1267</v>
      </c>
    </row>
    <row r="468" spans="1:7" x14ac:dyDescent="0.2">
      <c r="A468" s="40">
        <v>3032</v>
      </c>
      <c r="B468" s="39" t="s">
        <v>1944</v>
      </c>
      <c r="C468" s="40" t="s">
        <v>1281</v>
      </c>
      <c r="D468" s="74" t="s">
        <v>1269</v>
      </c>
      <c r="E468" s="74" t="s">
        <v>1266</v>
      </c>
      <c r="F468" s="74" t="s">
        <v>1268</v>
      </c>
      <c r="G468" s="74" t="s">
        <v>1268</v>
      </c>
    </row>
    <row r="469" spans="1:7" x14ac:dyDescent="0.2">
      <c r="A469" s="40">
        <v>3033</v>
      </c>
      <c r="B469" s="39" t="s">
        <v>1945</v>
      </c>
      <c r="C469" s="40" t="s">
        <v>1281</v>
      </c>
      <c r="D469" s="74" t="s">
        <v>1269</v>
      </c>
      <c r="E469" s="74" t="s">
        <v>1266</v>
      </c>
      <c r="F469" s="74" t="s">
        <v>1268</v>
      </c>
      <c r="G469" s="74" t="s">
        <v>1268</v>
      </c>
    </row>
    <row r="470" spans="1:7" x14ac:dyDescent="0.2">
      <c r="A470" s="40">
        <v>3034</v>
      </c>
      <c r="B470" s="39" t="s">
        <v>1946</v>
      </c>
      <c r="C470" s="40" t="s">
        <v>1281</v>
      </c>
      <c r="D470" s="74" t="s">
        <v>1269</v>
      </c>
      <c r="E470" s="74" t="s">
        <v>1266</v>
      </c>
      <c r="F470" s="74" t="s">
        <v>1268</v>
      </c>
      <c r="G470" s="74" t="s">
        <v>1268</v>
      </c>
    </row>
    <row r="471" spans="1:7" x14ac:dyDescent="0.2">
      <c r="A471" s="40">
        <v>3040</v>
      </c>
      <c r="B471" s="39" t="s">
        <v>1947</v>
      </c>
      <c r="C471" s="40" t="s">
        <v>1281</v>
      </c>
      <c r="D471" s="74" t="s">
        <v>1269</v>
      </c>
      <c r="E471" s="74" t="s">
        <v>1266</v>
      </c>
      <c r="F471" s="74" t="s">
        <v>1268</v>
      </c>
      <c r="G471" s="74" t="s">
        <v>1268</v>
      </c>
    </row>
    <row r="472" spans="1:7" x14ac:dyDescent="0.2">
      <c r="A472" s="40">
        <v>3041</v>
      </c>
      <c r="B472" s="39" t="s">
        <v>1948</v>
      </c>
      <c r="C472" s="40" t="s">
        <v>1281</v>
      </c>
      <c r="D472" s="74" t="s">
        <v>1269</v>
      </c>
      <c r="E472" s="74" t="s">
        <v>1266</v>
      </c>
      <c r="F472" s="74" t="s">
        <v>1268</v>
      </c>
      <c r="G472" s="74" t="s">
        <v>1267</v>
      </c>
    </row>
    <row r="473" spans="1:7" x14ac:dyDescent="0.2">
      <c r="A473" s="40">
        <v>3042</v>
      </c>
      <c r="B473" s="39" t="s">
        <v>1949</v>
      </c>
      <c r="C473" s="40" t="s">
        <v>1281</v>
      </c>
      <c r="D473" s="74" t="s">
        <v>1269</v>
      </c>
      <c r="E473" s="74" t="s">
        <v>1266</v>
      </c>
      <c r="F473" s="74" t="s">
        <v>1268</v>
      </c>
      <c r="G473" s="74" t="s">
        <v>1267</v>
      </c>
    </row>
    <row r="474" spans="1:7" x14ac:dyDescent="0.2">
      <c r="A474" s="40">
        <v>3051</v>
      </c>
      <c r="B474" s="39" t="s">
        <v>1950</v>
      </c>
      <c r="C474" s="40" t="s">
        <v>1281</v>
      </c>
      <c r="D474" s="74" t="s">
        <v>1269</v>
      </c>
      <c r="E474" s="74" t="s">
        <v>1266</v>
      </c>
      <c r="F474" s="74" t="s">
        <v>1268</v>
      </c>
      <c r="G474" s="74" t="s">
        <v>1267</v>
      </c>
    </row>
    <row r="475" spans="1:7" x14ac:dyDescent="0.2">
      <c r="A475" s="40">
        <v>3052</v>
      </c>
      <c r="B475" s="39" t="s">
        <v>1951</v>
      </c>
      <c r="C475" s="40" t="s">
        <v>1281</v>
      </c>
      <c r="D475" s="74" t="s">
        <v>1269</v>
      </c>
      <c r="E475" s="74" t="s">
        <v>1266</v>
      </c>
      <c r="F475" s="74" t="s">
        <v>1268</v>
      </c>
      <c r="G475" s="74" t="s">
        <v>1267</v>
      </c>
    </row>
    <row r="476" spans="1:7" x14ac:dyDescent="0.2">
      <c r="A476" s="40">
        <v>3053</v>
      </c>
      <c r="B476" s="39" t="s">
        <v>1952</v>
      </c>
      <c r="C476" s="40" t="s">
        <v>1281</v>
      </c>
      <c r="D476" s="74" t="s">
        <v>1269</v>
      </c>
      <c r="E476" s="74" t="s">
        <v>1266</v>
      </c>
      <c r="F476" s="74" t="s">
        <v>1268</v>
      </c>
      <c r="G476" s="74" t="s">
        <v>1267</v>
      </c>
    </row>
    <row r="477" spans="1:7" x14ac:dyDescent="0.2">
      <c r="A477" s="40">
        <v>3061</v>
      </c>
      <c r="B477" s="39" t="s">
        <v>1953</v>
      </c>
      <c r="C477" s="40" t="s">
        <v>1281</v>
      </c>
      <c r="D477" s="74" t="s">
        <v>1269</v>
      </c>
      <c r="E477" s="74" t="s">
        <v>1266</v>
      </c>
      <c r="F477" s="74" t="s">
        <v>1268</v>
      </c>
      <c r="G477" s="74" t="s">
        <v>1267</v>
      </c>
    </row>
    <row r="478" spans="1:7" x14ac:dyDescent="0.2">
      <c r="A478" s="40">
        <v>3062</v>
      </c>
      <c r="B478" s="39" t="s">
        <v>1954</v>
      </c>
      <c r="C478" s="40" t="s">
        <v>1281</v>
      </c>
      <c r="D478" s="74" t="s">
        <v>1269</v>
      </c>
      <c r="E478" s="74" t="s">
        <v>1266</v>
      </c>
      <c r="F478" s="74" t="s">
        <v>1268</v>
      </c>
      <c r="G478" s="74" t="s">
        <v>1268</v>
      </c>
    </row>
    <row r="479" spans="1:7" x14ac:dyDescent="0.2">
      <c r="A479" s="40">
        <v>3071</v>
      </c>
      <c r="B479" s="39" t="s">
        <v>1955</v>
      </c>
      <c r="C479" s="40" t="s">
        <v>1281</v>
      </c>
      <c r="D479" s="74" t="s">
        <v>1269</v>
      </c>
      <c r="E479" s="74" t="s">
        <v>1266</v>
      </c>
      <c r="F479" s="74" t="s">
        <v>1268</v>
      </c>
      <c r="G479" s="74" t="s">
        <v>1268</v>
      </c>
    </row>
    <row r="480" spans="1:7" x14ac:dyDescent="0.2">
      <c r="A480" s="40">
        <v>3072</v>
      </c>
      <c r="B480" s="39" t="s">
        <v>1956</v>
      </c>
      <c r="C480" s="40" t="s">
        <v>1281</v>
      </c>
      <c r="D480" s="74" t="s">
        <v>1269</v>
      </c>
      <c r="E480" s="74" t="s">
        <v>1266</v>
      </c>
      <c r="F480" s="74" t="s">
        <v>1268</v>
      </c>
      <c r="G480" s="74" t="s">
        <v>1267</v>
      </c>
    </row>
    <row r="481" spans="1:7" x14ac:dyDescent="0.2">
      <c r="A481" s="40">
        <v>3073</v>
      </c>
      <c r="B481" s="39" t="s">
        <v>1957</v>
      </c>
      <c r="C481" s="40" t="s">
        <v>1281</v>
      </c>
      <c r="D481" s="74" t="s">
        <v>1269</v>
      </c>
      <c r="E481" s="74" t="s">
        <v>1266</v>
      </c>
      <c r="F481" s="74" t="s">
        <v>1268</v>
      </c>
      <c r="G481" s="74" t="s">
        <v>1268</v>
      </c>
    </row>
    <row r="482" spans="1:7" x14ac:dyDescent="0.2">
      <c r="A482" s="40">
        <v>3074</v>
      </c>
      <c r="B482" s="39" t="s">
        <v>1960</v>
      </c>
      <c r="C482" s="40" t="s">
        <v>1281</v>
      </c>
      <c r="D482" s="74" t="s">
        <v>1269</v>
      </c>
      <c r="E482" s="74" t="s">
        <v>1266</v>
      </c>
      <c r="F482" s="74" t="s">
        <v>1268</v>
      </c>
      <c r="G482" s="74" t="s">
        <v>1267</v>
      </c>
    </row>
    <row r="483" spans="1:7" x14ac:dyDescent="0.2">
      <c r="A483" s="40">
        <v>3100</v>
      </c>
      <c r="B483" s="39" t="s">
        <v>271</v>
      </c>
      <c r="C483" s="40" t="s">
        <v>1281</v>
      </c>
      <c r="D483" s="74" t="s">
        <v>1269</v>
      </c>
      <c r="E483" s="74" t="s">
        <v>1266</v>
      </c>
      <c r="F483" s="74" t="s">
        <v>1268</v>
      </c>
      <c r="G483" s="74" t="s">
        <v>1268</v>
      </c>
    </row>
    <row r="484" spans="1:7" x14ac:dyDescent="0.2">
      <c r="A484" s="40">
        <v>3101</v>
      </c>
      <c r="B484" s="39" t="s">
        <v>1961</v>
      </c>
      <c r="C484" s="40" t="s">
        <v>1281</v>
      </c>
      <c r="D484" s="74" t="s">
        <v>1271</v>
      </c>
      <c r="E484" s="74" t="s">
        <v>1266</v>
      </c>
      <c r="F484" s="74" t="s">
        <v>1267</v>
      </c>
      <c r="G484" s="74" t="s">
        <v>1268</v>
      </c>
    </row>
    <row r="485" spans="1:7" x14ac:dyDescent="0.2">
      <c r="A485" s="40">
        <v>3102</v>
      </c>
      <c r="B485" s="39" t="s">
        <v>271</v>
      </c>
      <c r="C485" s="40" t="s">
        <v>1281</v>
      </c>
      <c r="D485" s="74" t="s">
        <v>1271</v>
      </c>
      <c r="E485" s="74" t="s">
        <v>1266</v>
      </c>
      <c r="F485" s="74" t="s">
        <v>1267</v>
      </c>
      <c r="G485" s="74" t="s">
        <v>1268</v>
      </c>
    </row>
    <row r="486" spans="1:7" x14ac:dyDescent="0.2">
      <c r="A486" s="40">
        <v>3103</v>
      </c>
      <c r="B486" s="39" t="s">
        <v>271</v>
      </c>
      <c r="C486" s="40" t="s">
        <v>1281</v>
      </c>
      <c r="D486" s="74" t="s">
        <v>1271</v>
      </c>
      <c r="E486" s="74" t="s">
        <v>1266</v>
      </c>
      <c r="F486" s="74" t="s">
        <v>1267</v>
      </c>
      <c r="G486" s="74" t="s">
        <v>1268</v>
      </c>
    </row>
    <row r="487" spans="1:7" x14ac:dyDescent="0.2">
      <c r="A487" s="40">
        <v>3104</v>
      </c>
      <c r="B487" s="39" t="s">
        <v>1962</v>
      </c>
      <c r="C487" s="40" t="s">
        <v>1281</v>
      </c>
      <c r="D487" s="74" t="s">
        <v>1269</v>
      </c>
      <c r="E487" s="74" t="s">
        <v>1266</v>
      </c>
      <c r="F487" s="74" t="s">
        <v>1268</v>
      </c>
      <c r="G487" s="74" t="s">
        <v>1267</v>
      </c>
    </row>
    <row r="488" spans="1:7" x14ac:dyDescent="0.2">
      <c r="A488" s="40">
        <v>3105</v>
      </c>
      <c r="B488" s="39" t="s">
        <v>1963</v>
      </c>
      <c r="C488" s="40" t="s">
        <v>1281</v>
      </c>
      <c r="D488" s="74" t="s">
        <v>1269</v>
      </c>
      <c r="E488" s="74" t="s">
        <v>1266</v>
      </c>
      <c r="F488" s="74" t="s">
        <v>1268</v>
      </c>
      <c r="G488" s="74" t="s">
        <v>1267</v>
      </c>
    </row>
    <row r="489" spans="1:7" x14ac:dyDescent="0.2">
      <c r="A489" s="40">
        <v>3106</v>
      </c>
      <c r="B489" s="39" t="s">
        <v>1964</v>
      </c>
      <c r="C489" s="40" t="s">
        <v>1281</v>
      </c>
      <c r="D489" s="74" t="s">
        <v>1271</v>
      </c>
      <c r="E489" s="74" t="s">
        <v>1266</v>
      </c>
      <c r="F489" s="74" t="s">
        <v>1267</v>
      </c>
      <c r="G489" s="74" t="s">
        <v>1268</v>
      </c>
    </row>
    <row r="490" spans="1:7" x14ac:dyDescent="0.2">
      <c r="A490" s="40">
        <v>3107</v>
      </c>
      <c r="B490" s="39" t="s">
        <v>1965</v>
      </c>
      <c r="C490" s="40" t="s">
        <v>1281</v>
      </c>
      <c r="D490" s="74" t="s">
        <v>1269</v>
      </c>
      <c r="E490" s="74" t="s">
        <v>1266</v>
      </c>
      <c r="F490" s="74" t="s">
        <v>1268</v>
      </c>
      <c r="G490" s="74" t="s">
        <v>1268</v>
      </c>
    </row>
    <row r="491" spans="1:7" x14ac:dyDescent="0.2">
      <c r="A491" s="40">
        <v>3108</v>
      </c>
      <c r="B491" s="39" t="s">
        <v>1966</v>
      </c>
      <c r="C491" s="40" t="s">
        <v>1281</v>
      </c>
      <c r="D491" s="74" t="s">
        <v>1271</v>
      </c>
      <c r="E491" s="74" t="s">
        <v>1266</v>
      </c>
      <c r="F491" s="74" t="s">
        <v>1267</v>
      </c>
      <c r="G491" s="74" t="s">
        <v>1268</v>
      </c>
    </row>
    <row r="492" spans="1:7" x14ac:dyDescent="0.2">
      <c r="A492" s="40">
        <v>3109</v>
      </c>
      <c r="B492" s="39" t="s">
        <v>271</v>
      </c>
      <c r="C492" s="40" t="s">
        <v>1281</v>
      </c>
      <c r="D492" s="74" t="s">
        <v>1271</v>
      </c>
      <c r="E492" s="74" t="s">
        <v>1266</v>
      </c>
      <c r="F492" s="74" t="s">
        <v>1267</v>
      </c>
      <c r="G492" s="74" t="s">
        <v>1268</v>
      </c>
    </row>
    <row r="493" spans="1:7" x14ac:dyDescent="0.2">
      <c r="A493" s="40">
        <v>3110</v>
      </c>
      <c r="B493" s="39" t="s">
        <v>1967</v>
      </c>
      <c r="C493" s="40" t="s">
        <v>1281</v>
      </c>
      <c r="D493" s="74" t="s">
        <v>1269</v>
      </c>
      <c r="E493" s="74" t="s">
        <v>1266</v>
      </c>
      <c r="F493" s="74" t="s">
        <v>1268</v>
      </c>
      <c r="G493" s="74" t="s">
        <v>1267</v>
      </c>
    </row>
    <row r="494" spans="1:7" x14ac:dyDescent="0.2">
      <c r="A494" s="40">
        <v>3111</v>
      </c>
      <c r="B494" s="39" t="s">
        <v>271</v>
      </c>
      <c r="C494" s="40" t="s">
        <v>1281</v>
      </c>
      <c r="D494" s="74" t="s">
        <v>1271</v>
      </c>
      <c r="E494" s="74" t="s">
        <v>1266</v>
      </c>
      <c r="F494" s="74" t="s">
        <v>1267</v>
      </c>
      <c r="G494" s="74" t="s">
        <v>1268</v>
      </c>
    </row>
    <row r="495" spans="1:7" x14ac:dyDescent="0.2">
      <c r="A495" s="40">
        <v>3121</v>
      </c>
      <c r="B495" s="39" t="s">
        <v>1968</v>
      </c>
      <c r="C495" s="40" t="s">
        <v>1281</v>
      </c>
      <c r="D495" s="74" t="s">
        <v>1269</v>
      </c>
      <c r="E495" s="74" t="s">
        <v>1266</v>
      </c>
      <c r="F495" s="74" t="s">
        <v>1268</v>
      </c>
      <c r="G495" s="74" t="s">
        <v>1268</v>
      </c>
    </row>
    <row r="496" spans="1:7" x14ac:dyDescent="0.2">
      <c r="A496" s="40">
        <v>3122</v>
      </c>
      <c r="B496" s="39" t="s">
        <v>1969</v>
      </c>
      <c r="C496" s="40" t="s">
        <v>1281</v>
      </c>
      <c r="D496" s="74" t="s">
        <v>1269</v>
      </c>
      <c r="E496" s="74" t="s">
        <v>1266</v>
      </c>
      <c r="F496" s="74" t="s">
        <v>1268</v>
      </c>
      <c r="G496" s="74" t="s">
        <v>1267</v>
      </c>
    </row>
    <row r="497" spans="1:7" x14ac:dyDescent="0.2">
      <c r="A497" s="40">
        <v>3123</v>
      </c>
      <c r="B497" s="39" t="s">
        <v>1970</v>
      </c>
      <c r="C497" s="40" t="s">
        <v>1281</v>
      </c>
      <c r="D497" s="74" t="s">
        <v>1269</v>
      </c>
      <c r="E497" s="74" t="s">
        <v>1266</v>
      </c>
      <c r="F497" s="74" t="s">
        <v>1268</v>
      </c>
      <c r="G497" s="74" t="s">
        <v>1267</v>
      </c>
    </row>
    <row r="498" spans="1:7" x14ac:dyDescent="0.2">
      <c r="A498" s="40">
        <v>3124</v>
      </c>
      <c r="B498" s="39" t="s">
        <v>1971</v>
      </c>
      <c r="C498" s="40" t="s">
        <v>1281</v>
      </c>
      <c r="D498" s="74" t="s">
        <v>1269</v>
      </c>
      <c r="E498" s="74" t="s">
        <v>1266</v>
      </c>
      <c r="F498" s="74" t="s">
        <v>1268</v>
      </c>
      <c r="G498" s="74" t="s">
        <v>1267</v>
      </c>
    </row>
    <row r="499" spans="1:7" x14ac:dyDescent="0.2">
      <c r="A499" s="40">
        <v>3125</v>
      </c>
      <c r="B499" s="39" t="s">
        <v>1972</v>
      </c>
      <c r="C499" s="40" t="s">
        <v>1281</v>
      </c>
      <c r="D499" s="74" t="s">
        <v>1269</v>
      </c>
      <c r="E499" s="74" t="s">
        <v>1266</v>
      </c>
      <c r="F499" s="74" t="s">
        <v>1268</v>
      </c>
      <c r="G499" s="74" t="s">
        <v>1267</v>
      </c>
    </row>
    <row r="500" spans="1:7" x14ac:dyDescent="0.2">
      <c r="A500" s="40">
        <v>3130</v>
      </c>
      <c r="B500" s="39" t="s">
        <v>1973</v>
      </c>
      <c r="C500" s="40" t="s">
        <v>1281</v>
      </c>
      <c r="D500" s="74" t="s">
        <v>1269</v>
      </c>
      <c r="E500" s="74" t="s">
        <v>1266</v>
      </c>
      <c r="F500" s="74" t="s">
        <v>1268</v>
      </c>
      <c r="G500" s="74" t="s">
        <v>1268</v>
      </c>
    </row>
    <row r="501" spans="1:7" x14ac:dyDescent="0.2">
      <c r="A501" s="40">
        <v>3131</v>
      </c>
      <c r="B501" s="39" t="s">
        <v>1982</v>
      </c>
      <c r="C501" s="40" t="s">
        <v>1281</v>
      </c>
      <c r="D501" s="74" t="s">
        <v>1269</v>
      </c>
      <c r="E501" s="74" t="s">
        <v>1266</v>
      </c>
      <c r="F501" s="74" t="s">
        <v>1268</v>
      </c>
      <c r="G501" s="74" t="s">
        <v>1267</v>
      </c>
    </row>
    <row r="502" spans="1:7" x14ac:dyDescent="0.2">
      <c r="A502" s="40">
        <v>3133</v>
      </c>
      <c r="B502" s="39" t="s">
        <v>1983</v>
      </c>
      <c r="C502" s="40" t="s">
        <v>1281</v>
      </c>
      <c r="D502" s="74" t="s">
        <v>1269</v>
      </c>
      <c r="E502" s="74" t="s">
        <v>1266</v>
      </c>
      <c r="F502" s="74" t="s">
        <v>1268</v>
      </c>
      <c r="G502" s="74" t="s">
        <v>1268</v>
      </c>
    </row>
    <row r="503" spans="1:7" x14ac:dyDescent="0.2">
      <c r="A503" s="40">
        <v>3134</v>
      </c>
      <c r="B503" s="39" t="s">
        <v>1984</v>
      </c>
      <c r="C503" s="40" t="s">
        <v>1281</v>
      </c>
      <c r="D503" s="74" t="s">
        <v>1269</v>
      </c>
      <c r="E503" s="74" t="s">
        <v>1266</v>
      </c>
      <c r="F503" s="74" t="s">
        <v>1268</v>
      </c>
      <c r="G503" s="74" t="s">
        <v>1267</v>
      </c>
    </row>
    <row r="504" spans="1:7" x14ac:dyDescent="0.2">
      <c r="A504" s="40">
        <v>3140</v>
      </c>
      <c r="B504" s="39" t="s">
        <v>1985</v>
      </c>
      <c r="C504" s="40" t="s">
        <v>1281</v>
      </c>
      <c r="D504" s="74" t="s">
        <v>1269</v>
      </c>
      <c r="E504" s="74" t="s">
        <v>1266</v>
      </c>
      <c r="F504" s="74" t="s">
        <v>1268</v>
      </c>
      <c r="G504" s="74" t="s">
        <v>1267</v>
      </c>
    </row>
    <row r="505" spans="1:7" x14ac:dyDescent="0.2">
      <c r="A505" s="40">
        <v>3141</v>
      </c>
      <c r="B505" s="39" t="s">
        <v>1986</v>
      </c>
      <c r="C505" s="40" t="s">
        <v>1281</v>
      </c>
      <c r="D505" s="74" t="s">
        <v>1269</v>
      </c>
      <c r="E505" s="74" t="s">
        <v>1266</v>
      </c>
      <c r="F505" s="74" t="s">
        <v>1268</v>
      </c>
      <c r="G505" s="74" t="s">
        <v>1267</v>
      </c>
    </row>
    <row r="506" spans="1:7" x14ac:dyDescent="0.2">
      <c r="A506" s="40">
        <v>3142</v>
      </c>
      <c r="B506" s="39" t="s">
        <v>1987</v>
      </c>
      <c r="C506" s="40" t="s">
        <v>1281</v>
      </c>
      <c r="D506" s="74" t="s">
        <v>1269</v>
      </c>
      <c r="E506" s="74" t="s">
        <v>1266</v>
      </c>
      <c r="F506" s="74" t="s">
        <v>1268</v>
      </c>
      <c r="G506" s="74" t="s">
        <v>1267</v>
      </c>
    </row>
    <row r="507" spans="1:7" x14ac:dyDescent="0.2">
      <c r="A507" s="40">
        <v>3143</v>
      </c>
      <c r="B507" s="39" t="s">
        <v>1988</v>
      </c>
      <c r="C507" s="40" t="s">
        <v>1281</v>
      </c>
      <c r="D507" s="74" t="s">
        <v>1269</v>
      </c>
      <c r="E507" s="74" t="s">
        <v>1266</v>
      </c>
      <c r="F507" s="74" t="s">
        <v>1268</v>
      </c>
      <c r="G507" s="74" t="s">
        <v>1268</v>
      </c>
    </row>
    <row r="508" spans="1:7" x14ac:dyDescent="0.2">
      <c r="A508" s="40">
        <v>3144</v>
      </c>
      <c r="B508" s="39" t="s">
        <v>1989</v>
      </c>
      <c r="C508" s="40" t="s">
        <v>1281</v>
      </c>
      <c r="D508" s="74" t="s">
        <v>1269</v>
      </c>
      <c r="E508" s="74" t="s">
        <v>1266</v>
      </c>
      <c r="F508" s="74" t="s">
        <v>1268</v>
      </c>
      <c r="G508" s="74" t="s">
        <v>1267</v>
      </c>
    </row>
    <row r="509" spans="1:7" x14ac:dyDescent="0.2">
      <c r="A509" s="40">
        <v>3150</v>
      </c>
      <c r="B509" s="39" t="s">
        <v>1990</v>
      </c>
      <c r="C509" s="40" t="s">
        <v>1281</v>
      </c>
      <c r="D509" s="74" t="s">
        <v>1269</v>
      </c>
      <c r="E509" s="74" t="s">
        <v>1266</v>
      </c>
      <c r="F509" s="74" t="s">
        <v>1268</v>
      </c>
      <c r="G509" s="74" t="s">
        <v>1268</v>
      </c>
    </row>
    <row r="510" spans="1:7" x14ac:dyDescent="0.2">
      <c r="A510" s="40">
        <v>3151</v>
      </c>
      <c r="B510" s="39" t="s">
        <v>1991</v>
      </c>
      <c r="C510" s="40" t="s">
        <v>1281</v>
      </c>
      <c r="D510" s="74" t="s">
        <v>1269</v>
      </c>
      <c r="E510" s="74" t="s">
        <v>1266</v>
      </c>
      <c r="F510" s="74" t="s">
        <v>1268</v>
      </c>
      <c r="G510" s="74" t="s">
        <v>1267</v>
      </c>
    </row>
    <row r="511" spans="1:7" x14ac:dyDescent="0.2">
      <c r="A511" s="40">
        <v>3153</v>
      </c>
      <c r="B511" s="39" t="s">
        <v>1992</v>
      </c>
      <c r="C511" s="40" t="s">
        <v>1281</v>
      </c>
      <c r="D511" s="74" t="s">
        <v>1269</v>
      </c>
      <c r="E511" s="74" t="s">
        <v>1266</v>
      </c>
      <c r="F511" s="74" t="s">
        <v>1268</v>
      </c>
      <c r="G511" s="74" t="s">
        <v>1267</v>
      </c>
    </row>
    <row r="512" spans="1:7" x14ac:dyDescent="0.2">
      <c r="A512" s="40">
        <v>3160</v>
      </c>
      <c r="B512" s="39" t="s">
        <v>1993</v>
      </c>
      <c r="C512" s="40" t="s">
        <v>1281</v>
      </c>
      <c r="D512" s="74" t="s">
        <v>1269</v>
      </c>
      <c r="E512" s="74" t="s">
        <v>1266</v>
      </c>
      <c r="F512" s="74" t="s">
        <v>1268</v>
      </c>
      <c r="G512" s="74" t="s">
        <v>1268</v>
      </c>
    </row>
    <row r="513" spans="1:7" x14ac:dyDescent="0.2">
      <c r="A513" s="40">
        <v>3161</v>
      </c>
      <c r="B513" s="39" t="s">
        <v>458</v>
      </c>
      <c r="C513" s="40" t="s">
        <v>1281</v>
      </c>
      <c r="D513" s="74" t="s">
        <v>1269</v>
      </c>
      <c r="E513" s="74" t="s">
        <v>1266</v>
      </c>
      <c r="F513" s="74" t="s">
        <v>1268</v>
      </c>
      <c r="G513" s="74" t="s">
        <v>1268</v>
      </c>
    </row>
    <row r="514" spans="1:7" x14ac:dyDescent="0.2">
      <c r="A514" s="40">
        <v>3162</v>
      </c>
      <c r="B514" s="39" t="s">
        <v>459</v>
      </c>
      <c r="C514" s="40" t="s">
        <v>1281</v>
      </c>
      <c r="D514" s="74" t="s">
        <v>1269</v>
      </c>
      <c r="E514" s="74" t="s">
        <v>1266</v>
      </c>
      <c r="F514" s="74" t="s">
        <v>1268</v>
      </c>
      <c r="G514" s="74" t="s">
        <v>1267</v>
      </c>
    </row>
    <row r="515" spans="1:7" x14ac:dyDescent="0.2">
      <c r="A515" s="40">
        <v>3163</v>
      </c>
      <c r="B515" s="39" t="s">
        <v>460</v>
      </c>
      <c r="C515" s="40" t="s">
        <v>1281</v>
      </c>
      <c r="D515" s="74" t="s">
        <v>1269</v>
      </c>
      <c r="E515" s="74" t="s">
        <v>1266</v>
      </c>
      <c r="F515" s="74" t="s">
        <v>1268</v>
      </c>
      <c r="G515" s="74" t="s">
        <v>1267</v>
      </c>
    </row>
    <row r="516" spans="1:7" x14ac:dyDescent="0.2">
      <c r="A516" s="40">
        <v>3170</v>
      </c>
      <c r="B516" s="39" t="s">
        <v>461</v>
      </c>
      <c r="C516" s="40" t="s">
        <v>1281</v>
      </c>
      <c r="D516" s="74" t="s">
        <v>1269</v>
      </c>
      <c r="E516" s="74" t="s">
        <v>1266</v>
      </c>
      <c r="F516" s="74" t="s">
        <v>1268</v>
      </c>
      <c r="G516" s="74" t="s">
        <v>1268</v>
      </c>
    </row>
    <row r="517" spans="1:7" x14ac:dyDescent="0.2">
      <c r="A517" s="40">
        <v>3171</v>
      </c>
      <c r="B517" s="39" t="s">
        <v>462</v>
      </c>
      <c r="C517" s="40" t="s">
        <v>1281</v>
      </c>
      <c r="D517" s="74" t="s">
        <v>1269</v>
      </c>
      <c r="E517" s="74" t="s">
        <v>1266</v>
      </c>
      <c r="F517" s="74" t="s">
        <v>1268</v>
      </c>
      <c r="G517" s="74" t="s">
        <v>1267</v>
      </c>
    </row>
    <row r="518" spans="1:7" x14ac:dyDescent="0.2">
      <c r="A518" s="40">
        <v>3172</v>
      </c>
      <c r="B518" s="39" t="s">
        <v>463</v>
      </c>
      <c r="C518" s="40" t="s">
        <v>1281</v>
      </c>
      <c r="D518" s="74" t="s">
        <v>1269</v>
      </c>
      <c r="E518" s="74" t="s">
        <v>1266</v>
      </c>
      <c r="F518" s="74" t="s">
        <v>1268</v>
      </c>
      <c r="G518" s="74" t="s">
        <v>1267</v>
      </c>
    </row>
    <row r="519" spans="1:7" x14ac:dyDescent="0.2">
      <c r="A519" s="40">
        <v>3180</v>
      </c>
      <c r="B519" s="39" t="s">
        <v>215</v>
      </c>
      <c r="C519" s="40" t="s">
        <v>1281</v>
      </c>
      <c r="D519" s="74" t="s">
        <v>1269</v>
      </c>
      <c r="E519" s="74" t="s">
        <v>1266</v>
      </c>
      <c r="F519" s="74" t="s">
        <v>1268</v>
      </c>
      <c r="G519" s="74" t="s">
        <v>1268</v>
      </c>
    </row>
    <row r="520" spans="1:7" x14ac:dyDescent="0.2">
      <c r="A520" s="40">
        <v>3182</v>
      </c>
      <c r="B520" s="39" t="s">
        <v>464</v>
      </c>
      <c r="C520" s="40" t="s">
        <v>1281</v>
      </c>
      <c r="D520" s="74" t="s">
        <v>1265</v>
      </c>
      <c r="E520" s="74" t="s">
        <v>1266</v>
      </c>
      <c r="F520" s="74" t="s">
        <v>1267</v>
      </c>
      <c r="G520" s="74" t="s">
        <v>1268</v>
      </c>
    </row>
    <row r="521" spans="1:7" x14ac:dyDescent="0.2">
      <c r="A521" s="40">
        <v>3183</v>
      </c>
      <c r="B521" s="39" t="s">
        <v>465</v>
      </c>
      <c r="C521" s="40" t="s">
        <v>1281</v>
      </c>
      <c r="D521" s="74" t="s">
        <v>1269</v>
      </c>
      <c r="E521" s="74" t="s">
        <v>1266</v>
      </c>
      <c r="F521" s="74" t="s">
        <v>1268</v>
      </c>
      <c r="G521" s="74" t="s">
        <v>1267</v>
      </c>
    </row>
    <row r="522" spans="1:7" x14ac:dyDescent="0.2">
      <c r="A522" s="40">
        <v>3184</v>
      </c>
      <c r="B522" s="39" t="s">
        <v>466</v>
      </c>
      <c r="C522" s="40" t="s">
        <v>1281</v>
      </c>
      <c r="D522" s="74" t="s">
        <v>1269</v>
      </c>
      <c r="E522" s="74" t="s">
        <v>1266</v>
      </c>
      <c r="F522" s="74" t="s">
        <v>1268</v>
      </c>
      <c r="G522" s="74" t="s">
        <v>1268</v>
      </c>
    </row>
    <row r="523" spans="1:7" x14ac:dyDescent="0.2">
      <c r="A523" s="40">
        <v>3192</v>
      </c>
      <c r="B523" s="39" t="s">
        <v>467</v>
      </c>
      <c r="C523" s="40" t="s">
        <v>1281</v>
      </c>
      <c r="D523" s="74" t="s">
        <v>1269</v>
      </c>
      <c r="E523" s="74" t="s">
        <v>1266</v>
      </c>
      <c r="F523" s="74" t="s">
        <v>1268</v>
      </c>
      <c r="G523" s="74" t="s">
        <v>1267</v>
      </c>
    </row>
    <row r="524" spans="1:7" x14ac:dyDescent="0.2">
      <c r="A524" s="40">
        <v>3193</v>
      </c>
      <c r="B524" s="39" t="s">
        <v>468</v>
      </c>
      <c r="C524" s="40" t="s">
        <v>1281</v>
      </c>
      <c r="D524" s="74" t="s">
        <v>1269</v>
      </c>
      <c r="E524" s="74" t="s">
        <v>1266</v>
      </c>
      <c r="F524" s="74" t="s">
        <v>1268</v>
      </c>
      <c r="G524" s="74" t="s">
        <v>1268</v>
      </c>
    </row>
    <row r="525" spans="1:7" x14ac:dyDescent="0.2">
      <c r="A525" s="40">
        <v>3195</v>
      </c>
      <c r="B525" s="39" t="s">
        <v>469</v>
      </c>
      <c r="C525" s="40" t="s">
        <v>1281</v>
      </c>
      <c r="D525" s="74" t="s">
        <v>1269</v>
      </c>
      <c r="E525" s="74" t="s">
        <v>1266</v>
      </c>
      <c r="F525" s="74" t="s">
        <v>1268</v>
      </c>
      <c r="G525" s="74" t="s">
        <v>1267</v>
      </c>
    </row>
    <row r="526" spans="1:7" x14ac:dyDescent="0.2">
      <c r="A526" s="40">
        <v>3200</v>
      </c>
      <c r="B526" s="39" t="s">
        <v>470</v>
      </c>
      <c r="C526" s="40" t="s">
        <v>1281</v>
      </c>
      <c r="D526" s="74" t="s">
        <v>1269</v>
      </c>
      <c r="E526" s="74" t="s">
        <v>1266</v>
      </c>
      <c r="F526" s="74" t="s">
        <v>1268</v>
      </c>
      <c r="G526" s="74" t="s">
        <v>1268</v>
      </c>
    </row>
    <row r="527" spans="1:7" x14ac:dyDescent="0.2">
      <c r="A527" s="40">
        <v>3202</v>
      </c>
      <c r="B527" s="39" t="s">
        <v>471</v>
      </c>
      <c r="C527" s="40" t="s">
        <v>1281</v>
      </c>
      <c r="D527" s="74" t="s">
        <v>1269</v>
      </c>
      <c r="E527" s="74" t="s">
        <v>1266</v>
      </c>
      <c r="F527" s="74" t="s">
        <v>1268</v>
      </c>
      <c r="G527" s="74" t="s">
        <v>1267</v>
      </c>
    </row>
    <row r="528" spans="1:7" x14ac:dyDescent="0.2">
      <c r="A528" s="40">
        <v>3203</v>
      </c>
      <c r="B528" s="39" t="s">
        <v>472</v>
      </c>
      <c r="C528" s="40" t="s">
        <v>1281</v>
      </c>
      <c r="D528" s="74" t="s">
        <v>1269</v>
      </c>
      <c r="E528" s="74" t="s">
        <v>1266</v>
      </c>
      <c r="F528" s="74" t="s">
        <v>1268</v>
      </c>
      <c r="G528" s="74" t="s">
        <v>1268</v>
      </c>
    </row>
    <row r="529" spans="1:7" x14ac:dyDescent="0.2">
      <c r="A529" s="40">
        <v>3204</v>
      </c>
      <c r="B529" s="39" t="s">
        <v>473</v>
      </c>
      <c r="C529" s="40" t="s">
        <v>1281</v>
      </c>
      <c r="D529" s="74" t="s">
        <v>1269</v>
      </c>
      <c r="E529" s="74" t="s">
        <v>1266</v>
      </c>
      <c r="F529" s="74" t="s">
        <v>1268</v>
      </c>
      <c r="G529" s="74" t="s">
        <v>1268</v>
      </c>
    </row>
    <row r="530" spans="1:7" x14ac:dyDescent="0.2">
      <c r="A530" s="40">
        <v>3211</v>
      </c>
      <c r="B530" s="39" t="s">
        <v>474</v>
      </c>
      <c r="C530" s="40" t="s">
        <v>1281</v>
      </c>
      <c r="D530" s="74" t="s">
        <v>1269</v>
      </c>
      <c r="E530" s="74" t="s">
        <v>1266</v>
      </c>
      <c r="F530" s="74" t="s">
        <v>1268</v>
      </c>
      <c r="G530" s="74" t="s">
        <v>1267</v>
      </c>
    </row>
    <row r="531" spans="1:7" x14ac:dyDescent="0.2">
      <c r="A531" s="40">
        <v>3212</v>
      </c>
      <c r="B531" s="39" t="s">
        <v>475</v>
      </c>
      <c r="C531" s="40" t="s">
        <v>1281</v>
      </c>
      <c r="D531" s="74" t="s">
        <v>1269</v>
      </c>
      <c r="E531" s="74" t="s">
        <v>1266</v>
      </c>
      <c r="F531" s="74" t="s">
        <v>1268</v>
      </c>
      <c r="G531" s="74" t="s">
        <v>1267</v>
      </c>
    </row>
    <row r="532" spans="1:7" x14ac:dyDescent="0.2">
      <c r="A532" s="40">
        <v>3213</v>
      </c>
      <c r="B532" s="39" t="s">
        <v>476</v>
      </c>
      <c r="C532" s="40" t="s">
        <v>1281</v>
      </c>
      <c r="D532" s="74" t="s">
        <v>1269</v>
      </c>
      <c r="E532" s="74" t="s">
        <v>1266</v>
      </c>
      <c r="F532" s="74" t="s">
        <v>1268</v>
      </c>
      <c r="G532" s="74" t="s">
        <v>1268</v>
      </c>
    </row>
    <row r="533" spans="1:7" x14ac:dyDescent="0.2">
      <c r="A533" s="40">
        <v>3214</v>
      </c>
      <c r="B533" s="39" t="s">
        <v>477</v>
      </c>
      <c r="C533" s="40" t="s">
        <v>1281</v>
      </c>
      <c r="D533" s="74" t="s">
        <v>1269</v>
      </c>
      <c r="E533" s="74" t="s">
        <v>1266</v>
      </c>
      <c r="F533" s="74" t="s">
        <v>1268</v>
      </c>
      <c r="G533" s="74" t="s">
        <v>1268</v>
      </c>
    </row>
    <row r="534" spans="1:7" x14ac:dyDescent="0.2">
      <c r="A534" s="40">
        <v>3221</v>
      </c>
      <c r="B534" s="39" t="s">
        <v>478</v>
      </c>
      <c r="C534" s="40" t="s">
        <v>1281</v>
      </c>
      <c r="D534" s="74" t="s">
        <v>1269</v>
      </c>
      <c r="E534" s="74" t="s">
        <v>1266</v>
      </c>
      <c r="F534" s="74" t="s">
        <v>1268</v>
      </c>
      <c r="G534" s="74" t="s">
        <v>1267</v>
      </c>
    </row>
    <row r="535" spans="1:7" x14ac:dyDescent="0.2">
      <c r="A535" s="40">
        <v>3222</v>
      </c>
      <c r="B535" s="39" t="s">
        <v>479</v>
      </c>
      <c r="C535" s="40" t="s">
        <v>1281</v>
      </c>
      <c r="D535" s="74" t="s">
        <v>1269</v>
      </c>
      <c r="E535" s="74" t="s">
        <v>1266</v>
      </c>
      <c r="F535" s="74" t="s">
        <v>1268</v>
      </c>
      <c r="G535" s="74" t="s">
        <v>1267</v>
      </c>
    </row>
    <row r="536" spans="1:7" x14ac:dyDescent="0.2">
      <c r="A536" s="40">
        <v>3223</v>
      </c>
      <c r="B536" s="39" t="s">
        <v>480</v>
      </c>
      <c r="C536" s="40" t="s">
        <v>1281</v>
      </c>
      <c r="D536" s="74" t="s">
        <v>1269</v>
      </c>
      <c r="E536" s="74" t="s">
        <v>1266</v>
      </c>
      <c r="F536" s="74" t="s">
        <v>1268</v>
      </c>
      <c r="G536" s="74" t="s">
        <v>1267</v>
      </c>
    </row>
    <row r="537" spans="1:7" x14ac:dyDescent="0.2">
      <c r="A537" s="40">
        <v>3224</v>
      </c>
      <c r="B537" s="39" t="s">
        <v>481</v>
      </c>
      <c r="C537" s="40" t="s">
        <v>1281</v>
      </c>
      <c r="D537" s="74" t="s">
        <v>1269</v>
      </c>
      <c r="E537" s="74" t="s">
        <v>1266</v>
      </c>
      <c r="F537" s="74" t="s">
        <v>1268</v>
      </c>
      <c r="G537" s="74" t="s">
        <v>1267</v>
      </c>
    </row>
    <row r="538" spans="1:7" x14ac:dyDescent="0.2">
      <c r="A538" s="40">
        <v>3231</v>
      </c>
      <c r="B538" s="39" t="s">
        <v>482</v>
      </c>
      <c r="C538" s="40" t="s">
        <v>1281</v>
      </c>
      <c r="D538" s="74" t="s">
        <v>1269</v>
      </c>
      <c r="E538" s="74" t="s">
        <v>1266</v>
      </c>
      <c r="F538" s="74" t="s">
        <v>1268</v>
      </c>
      <c r="G538" s="74" t="s">
        <v>1267</v>
      </c>
    </row>
    <row r="539" spans="1:7" x14ac:dyDescent="0.2">
      <c r="A539" s="40">
        <v>3232</v>
      </c>
      <c r="B539" s="39" t="s">
        <v>483</v>
      </c>
      <c r="C539" s="40" t="s">
        <v>1281</v>
      </c>
      <c r="D539" s="74" t="s">
        <v>1269</v>
      </c>
      <c r="E539" s="74" t="s">
        <v>1266</v>
      </c>
      <c r="F539" s="74" t="s">
        <v>1268</v>
      </c>
      <c r="G539" s="74" t="s">
        <v>1267</v>
      </c>
    </row>
    <row r="540" spans="1:7" x14ac:dyDescent="0.2">
      <c r="A540" s="40">
        <v>3233</v>
      </c>
      <c r="B540" s="39" t="s">
        <v>484</v>
      </c>
      <c r="C540" s="40" t="s">
        <v>1281</v>
      </c>
      <c r="D540" s="74" t="s">
        <v>1269</v>
      </c>
      <c r="E540" s="74" t="s">
        <v>1266</v>
      </c>
      <c r="F540" s="74" t="s">
        <v>1268</v>
      </c>
      <c r="G540" s="74" t="s">
        <v>1267</v>
      </c>
    </row>
    <row r="541" spans="1:7" x14ac:dyDescent="0.2">
      <c r="A541" s="40">
        <v>3240</v>
      </c>
      <c r="B541" s="39" t="s">
        <v>485</v>
      </c>
      <c r="C541" s="40" t="s">
        <v>1281</v>
      </c>
      <c r="D541" s="74" t="s">
        <v>1269</v>
      </c>
      <c r="E541" s="74" t="s">
        <v>1266</v>
      </c>
      <c r="F541" s="74" t="s">
        <v>1268</v>
      </c>
      <c r="G541" s="74" t="s">
        <v>1268</v>
      </c>
    </row>
    <row r="542" spans="1:7" x14ac:dyDescent="0.2">
      <c r="A542" s="40">
        <v>3241</v>
      </c>
      <c r="B542" s="39" t="s">
        <v>486</v>
      </c>
      <c r="C542" s="40" t="s">
        <v>1281</v>
      </c>
      <c r="D542" s="74" t="s">
        <v>1269</v>
      </c>
      <c r="E542" s="74" t="s">
        <v>1266</v>
      </c>
      <c r="F542" s="74" t="s">
        <v>1268</v>
      </c>
      <c r="G542" s="74" t="s">
        <v>1267</v>
      </c>
    </row>
    <row r="543" spans="1:7" x14ac:dyDescent="0.2">
      <c r="A543" s="40">
        <v>3242</v>
      </c>
      <c r="B543" s="39" t="s">
        <v>487</v>
      </c>
      <c r="C543" s="40" t="s">
        <v>1281</v>
      </c>
      <c r="D543" s="74" t="s">
        <v>1269</v>
      </c>
      <c r="E543" s="74" t="s">
        <v>1266</v>
      </c>
      <c r="F543" s="74" t="s">
        <v>1268</v>
      </c>
      <c r="G543" s="74" t="s">
        <v>1267</v>
      </c>
    </row>
    <row r="544" spans="1:7" x14ac:dyDescent="0.2">
      <c r="A544" s="40">
        <v>3243</v>
      </c>
      <c r="B544" s="39" t="s">
        <v>488</v>
      </c>
      <c r="C544" s="40" t="s">
        <v>1281</v>
      </c>
      <c r="D544" s="74" t="s">
        <v>1269</v>
      </c>
      <c r="E544" s="74" t="s">
        <v>1266</v>
      </c>
      <c r="F544" s="74" t="s">
        <v>1268</v>
      </c>
      <c r="G544" s="74" t="s">
        <v>1268</v>
      </c>
    </row>
    <row r="545" spans="1:7" x14ac:dyDescent="0.2">
      <c r="A545" s="40">
        <v>3244</v>
      </c>
      <c r="B545" s="39" t="s">
        <v>489</v>
      </c>
      <c r="C545" s="40" t="s">
        <v>1281</v>
      </c>
      <c r="D545" s="74" t="s">
        <v>1269</v>
      </c>
      <c r="E545" s="74" t="s">
        <v>1266</v>
      </c>
      <c r="F545" s="74" t="s">
        <v>1268</v>
      </c>
      <c r="G545" s="74" t="s">
        <v>1267</v>
      </c>
    </row>
    <row r="546" spans="1:7" x14ac:dyDescent="0.2">
      <c r="A546" s="40">
        <v>3250</v>
      </c>
      <c r="B546" s="39" t="s">
        <v>490</v>
      </c>
      <c r="C546" s="40" t="s">
        <v>1281</v>
      </c>
      <c r="D546" s="74" t="s">
        <v>1269</v>
      </c>
      <c r="E546" s="74" t="s">
        <v>1266</v>
      </c>
      <c r="F546" s="74" t="s">
        <v>1268</v>
      </c>
      <c r="G546" s="74" t="s">
        <v>1268</v>
      </c>
    </row>
    <row r="547" spans="1:7" x14ac:dyDescent="0.2">
      <c r="A547" s="40">
        <v>3251</v>
      </c>
      <c r="B547" s="39" t="s">
        <v>491</v>
      </c>
      <c r="C547" s="40" t="s">
        <v>1281</v>
      </c>
      <c r="D547" s="74" t="s">
        <v>1269</v>
      </c>
      <c r="E547" s="74" t="s">
        <v>1266</v>
      </c>
      <c r="F547" s="74" t="s">
        <v>1268</v>
      </c>
      <c r="G547" s="74" t="s">
        <v>1268</v>
      </c>
    </row>
    <row r="548" spans="1:7" x14ac:dyDescent="0.2">
      <c r="A548" s="40">
        <v>3252</v>
      </c>
      <c r="B548" s="39" t="s">
        <v>492</v>
      </c>
      <c r="C548" s="40" t="s">
        <v>1281</v>
      </c>
      <c r="D548" s="74" t="s">
        <v>1269</v>
      </c>
      <c r="E548" s="74" t="s">
        <v>1266</v>
      </c>
      <c r="F548" s="74" t="s">
        <v>1268</v>
      </c>
      <c r="G548" s="74" t="s">
        <v>1267</v>
      </c>
    </row>
    <row r="549" spans="1:7" x14ac:dyDescent="0.2">
      <c r="A549" s="40">
        <v>3253</v>
      </c>
      <c r="B549" s="39" t="s">
        <v>493</v>
      </c>
      <c r="C549" s="40" t="s">
        <v>1281</v>
      </c>
      <c r="D549" s="74" t="s">
        <v>1269</v>
      </c>
      <c r="E549" s="74" t="s">
        <v>1266</v>
      </c>
      <c r="F549" s="74" t="s">
        <v>1268</v>
      </c>
      <c r="G549" s="74" t="s">
        <v>1267</v>
      </c>
    </row>
    <row r="550" spans="1:7" x14ac:dyDescent="0.2">
      <c r="A550" s="40">
        <v>3261</v>
      </c>
      <c r="B550" s="39" t="s">
        <v>494</v>
      </c>
      <c r="C550" s="40" t="s">
        <v>1281</v>
      </c>
      <c r="D550" s="74" t="s">
        <v>1269</v>
      </c>
      <c r="E550" s="74" t="s">
        <v>1266</v>
      </c>
      <c r="F550" s="74" t="s">
        <v>1268</v>
      </c>
      <c r="G550" s="74" t="s">
        <v>1268</v>
      </c>
    </row>
    <row r="551" spans="1:7" x14ac:dyDescent="0.2">
      <c r="A551" s="40">
        <v>3262</v>
      </c>
      <c r="B551" s="39" t="s">
        <v>495</v>
      </c>
      <c r="C551" s="40" t="s">
        <v>1281</v>
      </c>
      <c r="D551" s="74" t="s">
        <v>1269</v>
      </c>
      <c r="E551" s="74" t="s">
        <v>1266</v>
      </c>
      <c r="F551" s="74" t="s">
        <v>1268</v>
      </c>
      <c r="G551" s="74" t="s">
        <v>1267</v>
      </c>
    </row>
    <row r="552" spans="1:7" x14ac:dyDescent="0.2">
      <c r="A552" s="40">
        <v>3263</v>
      </c>
      <c r="B552" s="39" t="s">
        <v>496</v>
      </c>
      <c r="C552" s="40" t="s">
        <v>1281</v>
      </c>
      <c r="D552" s="74" t="s">
        <v>1269</v>
      </c>
      <c r="E552" s="74" t="s">
        <v>1266</v>
      </c>
      <c r="F552" s="74" t="s">
        <v>1268</v>
      </c>
      <c r="G552" s="74" t="s">
        <v>1267</v>
      </c>
    </row>
    <row r="553" spans="1:7" x14ac:dyDescent="0.2">
      <c r="A553" s="40">
        <v>3264</v>
      </c>
      <c r="B553" s="39" t="s">
        <v>497</v>
      </c>
      <c r="C553" s="40" t="s">
        <v>1281</v>
      </c>
      <c r="D553" s="74" t="s">
        <v>1269</v>
      </c>
      <c r="E553" s="74" t="s">
        <v>1266</v>
      </c>
      <c r="F553" s="74" t="s">
        <v>1268</v>
      </c>
      <c r="G553" s="74" t="s">
        <v>1268</v>
      </c>
    </row>
    <row r="554" spans="1:7" x14ac:dyDescent="0.2">
      <c r="A554" s="40">
        <v>3270</v>
      </c>
      <c r="B554" s="39" t="s">
        <v>498</v>
      </c>
      <c r="C554" s="40" t="s">
        <v>1281</v>
      </c>
      <c r="D554" s="74" t="s">
        <v>1269</v>
      </c>
      <c r="E554" s="74" t="s">
        <v>1266</v>
      </c>
      <c r="F554" s="74" t="s">
        <v>1268</v>
      </c>
      <c r="G554" s="74" t="s">
        <v>1268</v>
      </c>
    </row>
    <row r="555" spans="1:7" x14ac:dyDescent="0.2">
      <c r="A555" s="40">
        <v>3281</v>
      </c>
      <c r="B555" s="39" t="s">
        <v>499</v>
      </c>
      <c r="C555" s="40" t="s">
        <v>1281</v>
      </c>
      <c r="D555" s="74" t="s">
        <v>1269</v>
      </c>
      <c r="E555" s="74" t="s">
        <v>1266</v>
      </c>
      <c r="F555" s="74" t="s">
        <v>1268</v>
      </c>
      <c r="G555" s="74" t="s">
        <v>1268</v>
      </c>
    </row>
    <row r="556" spans="1:7" x14ac:dyDescent="0.2">
      <c r="A556" s="40">
        <v>3282</v>
      </c>
      <c r="B556" s="39" t="s">
        <v>500</v>
      </c>
      <c r="C556" s="40" t="s">
        <v>1281</v>
      </c>
      <c r="D556" s="74" t="s">
        <v>1269</v>
      </c>
      <c r="E556" s="74" t="s">
        <v>1266</v>
      </c>
      <c r="F556" s="74" t="s">
        <v>1268</v>
      </c>
      <c r="G556" s="74" t="s">
        <v>1267</v>
      </c>
    </row>
    <row r="557" spans="1:7" x14ac:dyDescent="0.2">
      <c r="A557" s="40">
        <v>3283</v>
      </c>
      <c r="B557" s="39" t="s">
        <v>501</v>
      </c>
      <c r="C557" s="40" t="s">
        <v>1281</v>
      </c>
      <c r="D557" s="74" t="s">
        <v>1269</v>
      </c>
      <c r="E557" s="74" t="s">
        <v>1266</v>
      </c>
      <c r="F557" s="74" t="s">
        <v>1268</v>
      </c>
      <c r="G557" s="74" t="s">
        <v>1267</v>
      </c>
    </row>
    <row r="558" spans="1:7" x14ac:dyDescent="0.2">
      <c r="A558" s="40">
        <v>3291</v>
      </c>
      <c r="B558" s="39" t="s">
        <v>502</v>
      </c>
      <c r="C558" s="40" t="s">
        <v>1281</v>
      </c>
      <c r="D558" s="74" t="s">
        <v>1269</v>
      </c>
      <c r="E558" s="74" t="s">
        <v>1266</v>
      </c>
      <c r="F558" s="74" t="s">
        <v>1268</v>
      </c>
      <c r="G558" s="74" t="s">
        <v>1267</v>
      </c>
    </row>
    <row r="559" spans="1:7" x14ac:dyDescent="0.2">
      <c r="A559" s="40">
        <v>3292</v>
      </c>
      <c r="B559" s="39" t="s">
        <v>503</v>
      </c>
      <c r="C559" s="40" t="s">
        <v>1281</v>
      </c>
      <c r="D559" s="74" t="s">
        <v>1269</v>
      </c>
      <c r="E559" s="74" t="s">
        <v>1266</v>
      </c>
      <c r="F559" s="74" t="s">
        <v>1268</v>
      </c>
      <c r="G559" s="74" t="s">
        <v>1268</v>
      </c>
    </row>
    <row r="560" spans="1:7" x14ac:dyDescent="0.2">
      <c r="A560" s="40">
        <v>3293</v>
      </c>
      <c r="B560" s="39" t="s">
        <v>504</v>
      </c>
      <c r="C560" s="40" t="s">
        <v>1281</v>
      </c>
      <c r="D560" s="74" t="s">
        <v>1269</v>
      </c>
      <c r="E560" s="74" t="s">
        <v>1266</v>
      </c>
      <c r="F560" s="74" t="s">
        <v>1268</v>
      </c>
      <c r="G560" s="74" t="s">
        <v>1268</v>
      </c>
    </row>
    <row r="561" spans="1:7" x14ac:dyDescent="0.2">
      <c r="A561" s="40">
        <v>3294</v>
      </c>
      <c r="B561" s="39" t="s">
        <v>1313</v>
      </c>
      <c r="C561" s="40" t="s">
        <v>1281</v>
      </c>
      <c r="D561" s="74" t="s">
        <v>1269</v>
      </c>
      <c r="E561" s="74" t="s">
        <v>1266</v>
      </c>
      <c r="F561" s="74" t="s">
        <v>1268</v>
      </c>
      <c r="G561" s="74" t="s">
        <v>1267</v>
      </c>
    </row>
    <row r="562" spans="1:7" x14ac:dyDescent="0.2">
      <c r="A562" s="40">
        <v>3295</v>
      </c>
      <c r="B562" s="39" t="s">
        <v>505</v>
      </c>
      <c r="C562" s="40" t="s">
        <v>1281</v>
      </c>
      <c r="D562" s="74" t="s">
        <v>1269</v>
      </c>
      <c r="E562" s="74" t="s">
        <v>1266</v>
      </c>
      <c r="F562" s="74" t="s">
        <v>1268</v>
      </c>
      <c r="G562" s="74" t="s">
        <v>1267</v>
      </c>
    </row>
    <row r="563" spans="1:7" x14ac:dyDescent="0.2">
      <c r="A563" s="40">
        <v>3300</v>
      </c>
      <c r="B563" s="39" t="s">
        <v>118</v>
      </c>
      <c r="C563" s="40" t="s">
        <v>1281</v>
      </c>
      <c r="D563" s="74" t="s">
        <v>1269</v>
      </c>
      <c r="E563" s="74" t="s">
        <v>1266</v>
      </c>
      <c r="F563" s="74" t="s">
        <v>1268</v>
      </c>
      <c r="G563" s="74" t="s">
        <v>1268</v>
      </c>
    </row>
    <row r="564" spans="1:7" x14ac:dyDescent="0.2">
      <c r="A564" s="40">
        <v>3302</v>
      </c>
      <c r="B564" s="39" t="s">
        <v>506</v>
      </c>
      <c r="C564" s="40" t="s">
        <v>1281</v>
      </c>
      <c r="D564" s="74" t="s">
        <v>1271</v>
      </c>
      <c r="E564" s="74" t="s">
        <v>1266</v>
      </c>
      <c r="F564" s="74" t="s">
        <v>1267</v>
      </c>
      <c r="G564" s="74" t="s">
        <v>1268</v>
      </c>
    </row>
    <row r="565" spans="1:7" x14ac:dyDescent="0.2">
      <c r="A565" s="40">
        <v>3304</v>
      </c>
      <c r="B565" s="39" t="s">
        <v>507</v>
      </c>
      <c r="C565" s="40" t="s">
        <v>1281</v>
      </c>
      <c r="D565" s="74" t="s">
        <v>1269</v>
      </c>
      <c r="E565" s="74" t="s">
        <v>1266</v>
      </c>
      <c r="F565" s="74" t="s">
        <v>1268</v>
      </c>
      <c r="G565" s="74" t="s">
        <v>1267</v>
      </c>
    </row>
    <row r="566" spans="1:7" x14ac:dyDescent="0.2">
      <c r="A566" s="40">
        <v>3311</v>
      </c>
      <c r="B566" s="39" t="s">
        <v>508</v>
      </c>
      <c r="C566" s="40" t="s">
        <v>1281</v>
      </c>
      <c r="D566" s="74" t="s">
        <v>1269</v>
      </c>
      <c r="E566" s="74" t="s">
        <v>1266</v>
      </c>
      <c r="F566" s="74" t="s">
        <v>1268</v>
      </c>
      <c r="G566" s="74" t="s">
        <v>1267</v>
      </c>
    </row>
    <row r="567" spans="1:7" x14ac:dyDescent="0.2">
      <c r="A567" s="40">
        <v>3312</v>
      </c>
      <c r="B567" s="39" t="s">
        <v>1907</v>
      </c>
      <c r="C567" s="40" t="s">
        <v>1281</v>
      </c>
      <c r="D567" s="74" t="s">
        <v>1269</v>
      </c>
      <c r="E567" s="74" t="s">
        <v>1266</v>
      </c>
      <c r="F567" s="74" t="s">
        <v>1268</v>
      </c>
      <c r="G567" s="74" t="s">
        <v>1267</v>
      </c>
    </row>
    <row r="568" spans="1:7" x14ac:dyDescent="0.2">
      <c r="A568" s="40">
        <v>3313</v>
      </c>
      <c r="B568" s="39" t="s">
        <v>509</v>
      </c>
      <c r="C568" s="40" t="s">
        <v>1281</v>
      </c>
      <c r="D568" s="74" t="s">
        <v>1269</v>
      </c>
      <c r="E568" s="74" t="s">
        <v>1266</v>
      </c>
      <c r="F568" s="74" t="s">
        <v>1268</v>
      </c>
      <c r="G568" s="74" t="s">
        <v>1267</v>
      </c>
    </row>
    <row r="569" spans="1:7" x14ac:dyDescent="0.2">
      <c r="A569" s="40">
        <v>3314</v>
      </c>
      <c r="B569" s="39" t="s">
        <v>510</v>
      </c>
      <c r="C569" s="40" t="s">
        <v>1281</v>
      </c>
      <c r="D569" s="74" t="s">
        <v>1269</v>
      </c>
      <c r="E569" s="74" t="s">
        <v>1266</v>
      </c>
      <c r="F569" s="74" t="s">
        <v>1268</v>
      </c>
      <c r="G569" s="74" t="s">
        <v>1268</v>
      </c>
    </row>
    <row r="570" spans="1:7" x14ac:dyDescent="0.2">
      <c r="A570" s="40">
        <v>3321</v>
      </c>
      <c r="B570" s="39" t="s">
        <v>511</v>
      </c>
      <c r="C570" s="40" t="s">
        <v>1281</v>
      </c>
      <c r="D570" s="74" t="s">
        <v>1269</v>
      </c>
      <c r="E570" s="74" t="s">
        <v>1266</v>
      </c>
      <c r="F570" s="74" t="s">
        <v>1268</v>
      </c>
      <c r="G570" s="74" t="s">
        <v>1268</v>
      </c>
    </row>
    <row r="571" spans="1:7" x14ac:dyDescent="0.2">
      <c r="A571" s="40">
        <v>3322</v>
      </c>
      <c r="B571" s="39" t="s">
        <v>512</v>
      </c>
      <c r="C571" s="40" t="s">
        <v>1281</v>
      </c>
      <c r="D571" s="74" t="s">
        <v>1269</v>
      </c>
      <c r="E571" s="74" t="s">
        <v>1266</v>
      </c>
      <c r="F571" s="74" t="s">
        <v>1268</v>
      </c>
      <c r="G571" s="74" t="s">
        <v>1267</v>
      </c>
    </row>
    <row r="572" spans="1:7" x14ac:dyDescent="0.2">
      <c r="A572" s="40">
        <v>3323</v>
      </c>
      <c r="B572" s="39" t="s">
        <v>513</v>
      </c>
      <c r="C572" s="40" t="s">
        <v>1281</v>
      </c>
      <c r="D572" s="74" t="s">
        <v>1269</v>
      </c>
      <c r="E572" s="74" t="s">
        <v>1266</v>
      </c>
      <c r="F572" s="74" t="s">
        <v>1268</v>
      </c>
      <c r="G572" s="74" t="s">
        <v>1267</v>
      </c>
    </row>
    <row r="573" spans="1:7" x14ac:dyDescent="0.2">
      <c r="A573" s="40">
        <v>3324</v>
      </c>
      <c r="B573" s="39" t="s">
        <v>514</v>
      </c>
      <c r="C573" s="40" t="s">
        <v>1281</v>
      </c>
      <c r="D573" s="74" t="s">
        <v>1269</v>
      </c>
      <c r="E573" s="74" t="s">
        <v>1266</v>
      </c>
      <c r="F573" s="74" t="s">
        <v>1268</v>
      </c>
      <c r="G573" s="74" t="s">
        <v>1268</v>
      </c>
    </row>
    <row r="574" spans="1:7" x14ac:dyDescent="0.2">
      <c r="A574" s="40">
        <v>3325</v>
      </c>
      <c r="B574" s="39" t="s">
        <v>515</v>
      </c>
      <c r="C574" s="40" t="s">
        <v>1281</v>
      </c>
      <c r="D574" s="74" t="s">
        <v>1269</v>
      </c>
      <c r="E574" s="74" t="s">
        <v>1266</v>
      </c>
      <c r="F574" s="74" t="s">
        <v>1268</v>
      </c>
      <c r="G574" s="74" t="s">
        <v>1267</v>
      </c>
    </row>
    <row r="575" spans="1:7" x14ac:dyDescent="0.2">
      <c r="A575" s="40">
        <v>3331</v>
      </c>
      <c r="B575" s="39" t="s">
        <v>516</v>
      </c>
      <c r="C575" s="40" t="s">
        <v>1281</v>
      </c>
      <c r="D575" s="74" t="s">
        <v>1269</v>
      </c>
      <c r="E575" s="74" t="s">
        <v>1266</v>
      </c>
      <c r="F575" s="74" t="s">
        <v>1268</v>
      </c>
      <c r="G575" s="74" t="s">
        <v>1268</v>
      </c>
    </row>
    <row r="576" spans="1:7" x14ac:dyDescent="0.2">
      <c r="A576" s="40">
        <v>3332</v>
      </c>
      <c r="B576" s="39" t="s">
        <v>517</v>
      </c>
      <c r="C576" s="40" t="s">
        <v>1281</v>
      </c>
      <c r="D576" s="74" t="s">
        <v>1269</v>
      </c>
      <c r="E576" s="74" t="s">
        <v>1266</v>
      </c>
      <c r="F576" s="74" t="s">
        <v>1268</v>
      </c>
      <c r="G576" s="74" t="s">
        <v>1267</v>
      </c>
    </row>
    <row r="577" spans="1:7" x14ac:dyDescent="0.2">
      <c r="A577" s="40">
        <v>3333</v>
      </c>
      <c r="B577" s="39" t="s">
        <v>518</v>
      </c>
      <c r="C577" s="40" t="s">
        <v>1281</v>
      </c>
      <c r="D577" s="74" t="s">
        <v>1269</v>
      </c>
      <c r="E577" s="74" t="s">
        <v>1266</v>
      </c>
      <c r="F577" s="74" t="s">
        <v>1268</v>
      </c>
      <c r="G577" s="74" t="s">
        <v>1267</v>
      </c>
    </row>
    <row r="578" spans="1:7" x14ac:dyDescent="0.2">
      <c r="A578" s="40">
        <v>3334</v>
      </c>
      <c r="B578" s="39" t="s">
        <v>519</v>
      </c>
      <c r="C578" s="40" t="s">
        <v>520</v>
      </c>
      <c r="D578" s="74" t="s">
        <v>1269</v>
      </c>
      <c r="E578" s="74" t="s">
        <v>1266</v>
      </c>
      <c r="F578" s="74" t="s">
        <v>1268</v>
      </c>
      <c r="G578" s="74" t="s">
        <v>1268</v>
      </c>
    </row>
    <row r="579" spans="1:7" x14ac:dyDescent="0.2">
      <c r="A579" s="40">
        <v>3335</v>
      </c>
      <c r="B579" s="39" t="s">
        <v>521</v>
      </c>
      <c r="C579" s="40" t="s">
        <v>520</v>
      </c>
      <c r="D579" s="74" t="s">
        <v>1269</v>
      </c>
      <c r="E579" s="74" t="s">
        <v>1266</v>
      </c>
      <c r="F579" s="74" t="s">
        <v>1268</v>
      </c>
      <c r="G579" s="74" t="s">
        <v>1268</v>
      </c>
    </row>
    <row r="580" spans="1:7" x14ac:dyDescent="0.2">
      <c r="A580" s="40">
        <v>3340</v>
      </c>
      <c r="B580" s="39" t="s">
        <v>522</v>
      </c>
      <c r="C580" s="40" t="s">
        <v>1281</v>
      </c>
      <c r="D580" s="74" t="s">
        <v>1269</v>
      </c>
      <c r="E580" s="74" t="s">
        <v>1266</v>
      </c>
      <c r="F580" s="74" t="s">
        <v>1268</v>
      </c>
      <c r="G580" s="74" t="s">
        <v>1268</v>
      </c>
    </row>
    <row r="581" spans="1:7" x14ac:dyDescent="0.2">
      <c r="A581" s="40">
        <v>3341</v>
      </c>
      <c r="B581" s="39" t="s">
        <v>523</v>
      </c>
      <c r="C581" s="40" t="s">
        <v>1281</v>
      </c>
      <c r="D581" s="74" t="s">
        <v>1269</v>
      </c>
      <c r="E581" s="74" t="s">
        <v>1266</v>
      </c>
      <c r="F581" s="74" t="s">
        <v>1268</v>
      </c>
      <c r="G581" s="74" t="s">
        <v>1268</v>
      </c>
    </row>
    <row r="582" spans="1:7" x14ac:dyDescent="0.2">
      <c r="A582" s="40">
        <v>3342</v>
      </c>
      <c r="B582" s="39" t="s">
        <v>524</v>
      </c>
      <c r="C582" s="40" t="s">
        <v>1281</v>
      </c>
      <c r="D582" s="74" t="s">
        <v>1269</v>
      </c>
      <c r="E582" s="74" t="s">
        <v>1266</v>
      </c>
      <c r="F582" s="74" t="s">
        <v>1268</v>
      </c>
      <c r="G582" s="74" t="s">
        <v>1267</v>
      </c>
    </row>
    <row r="583" spans="1:7" x14ac:dyDescent="0.2">
      <c r="A583" s="40">
        <v>3343</v>
      </c>
      <c r="B583" s="39" t="s">
        <v>525</v>
      </c>
      <c r="C583" s="40" t="s">
        <v>1281</v>
      </c>
      <c r="D583" s="74" t="s">
        <v>1269</v>
      </c>
      <c r="E583" s="74" t="s">
        <v>1266</v>
      </c>
      <c r="F583" s="74" t="s">
        <v>1268</v>
      </c>
      <c r="G583" s="74" t="s">
        <v>1268</v>
      </c>
    </row>
    <row r="584" spans="1:7" x14ac:dyDescent="0.2">
      <c r="A584" s="40">
        <v>3344</v>
      </c>
      <c r="B584" s="39" t="s">
        <v>526</v>
      </c>
      <c r="C584" s="40" t="s">
        <v>1281</v>
      </c>
      <c r="D584" s="74" t="s">
        <v>1269</v>
      </c>
      <c r="E584" s="74" t="s">
        <v>1266</v>
      </c>
      <c r="F584" s="74" t="s">
        <v>1268</v>
      </c>
      <c r="G584" s="74" t="s">
        <v>1267</v>
      </c>
    </row>
    <row r="585" spans="1:7" x14ac:dyDescent="0.2">
      <c r="A585" s="40">
        <v>3345</v>
      </c>
      <c r="B585" s="39" t="s">
        <v>527</v>
      </c>
      <c r="C585" s="40" t="s">
        <v>1281</v>
      </c>
      <c r="D585" s="74" t="s">
        <v>1269</v>
      </c>
      <c r="E585" s="74" t="s">
        <v>1266</v>
      </c>
      <c r="F585" s="74" t="s">
        <v>1268</v>
      </c>
      <c r="G585" s="74" t="s">
        <v>1268</v>
      </c>
    </row>
    <row r="586" spans="1:7" x14ac:dyDescent="0.2">
      <c r="A586" s="40">
        <v>3350</v>
      </c>
      <c r="B586" s="39" t="s">
        <v>528</v>
      </c>
      <c r="C586" s="40" t="s">
        <v>1281</v>
      </c>
      <c r="D586" s="74" t="s">
        <v>1269</v>
      </c>
      <c r="E586" s="74" t="s">
        <v>1266</v>
      </c>
      <c r="F586" s="74" t="s">
        <v>1268</v>
      </c>
      <c r="G586" s="74" t="s">
        <v>1268</v>
      </c>
    </row>
    <row r="587" spans="1:7" x14ac:dyDescent="0.2">
      <c r="A587" s="40">
        <v>3351</v>
      </c>
      <c r="B587" s="39" t="s">
        <v>529</v>
      </c>
      <c r="C587" s="40" t="s">
        <v>1281</v>
      </c>
      <c r="D587" s="74" t="s">
        <v>1269</v>
      </c>
      <c r="E587" s="74" t="s">
        <v>1266</v>
      </c>
      <c r="F587" s="74" t="s">
        <v>1268</v>
      </c>
      <c r="G587" s="74" t="s">
        <v>1267</v>
      </c>
    </row>
    <row r="588" spans="1:7" x14ac:dyDescent="0.2">
      <c r="A588" s="40">
        <v>3352</v>
      </c>
      <c r="B588" s="39" t="s">
        <v>530</v>
      </c>
      <c r="C588" s="40" t="s">
        <v>1281</v>
      </c>
      <c r="D588" s="74" t="s">
        <v>1269</v>
      </c>
      <c r="E588" s="74" t="s">
        <v>1266</v>
      </c>
      <c r="F588" s="74" t="s">
        <v>1268</v>
      </c>
      <c r="G588" s="74" t="s">
        <v>1268</v>
      </c>
    </row>
    <row r="589" spans="1:7" x14ac:dyDescent="0.2">
      <c r="A589" s="40">
        <v>3353</v>
      </c>
      <c r="B589" s="39" t="s">
        <v>531</v>
      </c>
      <c r="C589" s="40" t="s">
        <v>1281</v>
      </c>
      <c r="D589" s="74" t="s">
        <v>1269</v>
      </c>
      <c r="E589" s="74" t="s">
        <v>1266</v>
      </c>
      <c r="F589" s="74" t="s">
        <v>1268</v>
      </c>
      <c r="G589" s="74" t="s">
        <v>1268</v>
      </c>
    </row>
    <row r="590" spans="1:7" x14ac:dyDescent="0.2">
      <c r="A590" s="40">
        <v>3354</v>
      </c>
      <c r="B590" s="39" t="s">
        <v>532</v>
      </c>
      <c r="C590" s="40" t="s">
        <v>1281</v>
      </c>
      <c r="D590" s="74" t="s">
        <v>1269</v>
      </c>
      <c r="E590" s="74" t="s">
        <v>1266</v>
      </c>
      <c r="F590" s="74" t="s">
        <v>1268</v>
      </c>
      <c r="G590" s="74" t="s">
        <v>1267</v>
      </c>
    </row>
    <row r="591" spans="1:7" x14ac:dyDescent="0.2">
      <c r="A591" s="40">
        <v>3355</v>
      </c>
      <c r="B591" s="39" t="s">
        <v>533</v>
      </c>
      <c r="C591" s="40" t="s">
        <v>1281</v>
      </c>
      <c r="D591" s="74" t="s">
        <v>1269</v>
      </c>
      <c r="E591" s="74" t="s">
        <v>1266</v>
      </c>
      <c r="F591" s="74" t="s">
        <v>1268</v>
      </c>
      <c r="G591" s="74" t="s">
        <v>1267</v>
      </c>
    </row>
    <row r="592" spans="1:7" x14ac:dyDescent="0.2">
      <c r="A592" s="40">
        <v>3361</v>
      </c>
      <c r="B592" s="39" t="s">
        <v>534</v>
      </c>
      <c r="C592" s="40" t="s">
        <v>1281</v>
      </c>
      <c r="D592" s="74" t="s">
        <v>1269</v>
      </c>
      <c r="E592" s="74" t="s">
        <v>1266</v>
      </c>
      <c r="F592" s="74" t="s">
        <v>1268</v>
      </c>
      <c r="G592" s="74" t="s">
        <v>1268</v>
      </c>
    </row>
    <row r="593" spans="1:7" x14ac:dyDescent="0.2">
      <c r="A593" s="40">
        <v>3362</v>
      </c>
      <c r="B593" s="39" t="s">
        <v>535</v>
      </c>
      <c r="C593" s="40" t="s">
        <v>1281</v>
      </c>
      <c r="D593" s="74" t="s">
        <v>1269</v>
      </c>
      <c r="E593" s="74" t="s">
        <v>1266</v>
      </c>
      <c r="F593" s="74" t="s">
        <v>1268</v>
      </c>
      <c r="G593" s="74" t="s">
        <v>1267</v>
      </c>
    </row>
    <row r="594" spans="1:7" x14ac:dyDescent="0.2">
      <c r="A594" s="40">
        <v>3363</v>
      </c>
      <c r="B594" s="39" t="s">
        <v>536</v>
      </c>
      <c r="C594" s="40" t="s">
        <v>1281</v>
      </c>
      <c r="D594" s="74" t="s">
        <v>1269</v>
      </c>
      <c r="E594" s="74" t="s">
        <v>1266</v>
      </c>
      <c r="F594" s="74" t="s">
        <v>1268</v>
      </c>
      <c r="G594" s="74" t="s">
        <v>1268</v>
      </c>
    </row>
    <row r="595" spans="1:7" x14ac:dyDescent="0.2">
      <c r="A595" s="40">
        <v>3364</v>
      </c>
      <c r="B595" s="39" t="s">
        <v>537</v>
      </c>
      <c r="C595" s="40" t="s">
        <v>1281</v>
      </c>
      <c r="D595" s="74" t="s">
        <v>1269</v>
      </c>
      <c r="E595" s="74" t="s">
        <v>1266</v>
      </c>
      <c r="F595" s="74" t="s">
        <v>1268</v>
      </c>
      <c r="G595" s="74" t="s">
        <v>1267</v>
      </c>
    </row>
    <row r="596" spans="1:7" x14ac:dyDescent="0.2">
      <c r="A596" s="40">
        <v>3365</v>
      </c>
      <c r="B596" s="39" t="s">
        <v>1994</v>
      </c>
      <c r="C596" s="40" t="s">
        <v>1281</v>
      </c>
      <c r="D596" s="74" t="s">
        <v>1269</v>
      </c>
      <c r="E596" s="74" t="s">
        <v>1266</v>
      </c>
      <c r="F596" s="74" t="s">
        <v>1268</v>
      </c>
      <c r="G596" s="74" t="s">
        <v>1267</v>
      </c>
    </row>
    <row r="597" spans="1:7" x14ac:dyDescent="0.2">
      <c r="A597" s="40">
        <v>3370</v>
      </c>
      <c r="B597" s="39" t="s">
        <v>1995</v>
      </c>
      <c r="C597" s="40" t="s">
        <v>1281</v>
      </c>
      <c r="D597" s="74" t="s">
        <v>1269</v>
      </c>
      <c r="E597" s="74" t="s">
        <v>1266</v>
      </c>
      <c r="F597" s="74" t="s">
        <v>1268</v>
      </c>
      <c r="G597" s="74" t="s">
        <v>1268</v>
      </c>
    </row>
    <row r="598" spans="1:7" x14ac:dyDescent="0.2">
      <c r="A598" s="40">
        <v>3371</v>
      </c>
      <c r="B598" s="39" t="s">
        <v>1996</v>
      </c>
      <c r="C598" s="40" t="s">
        <v>1281</v>
      </c>
      <c r="D598" s="74" t="s">
        <v>1269</v>
      </c>
      <c r="E598" s="74" t="s">
        <v>1266</v>
      </c>
      <c r="F598" s="74" t="s">
        <v>1268</v>
      </c>
      <c r="G598" s="74" t="s">
        <v>1267</v>
      </c>
    </row>
    <row r="599" spans="1:7" x14ac:dyDescent="0.2">
      <c r="A599" s="40">
        <v>3372</v>
      </c>
      <c r="B599" s="39" t="s">
        <v>1997</v>
      </c>
      <c r="C599" s="40" t="s">
        <v>1281</v>
      </c>
      <c r="D599" s="74" t="s">
        <v>1269</v>
      </c>
      <c r="E599" s="74" t="s">
        <v>1266</v>
      </c>
      <c r="F599" s="74" t="s">
        <v>1268</v>
      </c>
      <c r="G599" s="74" t="s">
        <v>1268</v>
      </c>
    </row>
    <row r="600" spans="1:7" x14ac:dyDescent="0.2">
      <c r="A600" s="40">
        <v>3373</v>
      </c>
      <c r="B600" s="39" t="s">
        <v>1998</v>
      </c>
      <c r="C600" s="40" t="s">
        <v>1281</v>
      </c>
      <c r="D600" s="74" t="s">
        <v>1269</v>
      </c>
      <c r="E600" s="74" t="s">
        <v>1266</v>
      </c>
      <c r="F600" s="74" t="s">
        <v>1268</v>
      </c>
      <c r="G600" s="74" t="s">
        <v>1268</v>
      </c>
    </row>
    <row r="601" spans="1:7" x14ac:dyDescent="0.2">
      <c r="A601" s="40">
        <v>3374</v>
      </c>
      <c r="B601" s="39" t="s">
        <v>1999</v>
      </c>
      <c r="C601" s="40" t="s">
        <v>1281</v>
      </c>
      <c r="D601" s="74" t="s">
        <v>1269</v>
      </c>
      <c r="E601" s="74" t="s">
        <v>1266</v>
      </c>
      <c r="F601" s="74" t="s">
        <v>1268</v>
      </c>
      <c r="G601" s="74" t="s">
        <v>1267</v>
      </c>
    </row>
    <row r="602" spans="1:7" x14ac:dyDescent="0.2">
      <c r="A602" s="40">
        <v>3375</v>
      </c>
      <c r="B602" s="39" t="s">
        <v>2000</v>
      </c>
      <c r="C602" s="40" t="s">
        <v>1281</v>
      </c>
      <c r="D602" s="74" t="s">
        <v>1269</v>
      </c>
      <c r="E602" s="74" t="s">
        <v>1266</v>
      </c>
      <c r="F602" s="74" t="s">
        <v>1268</v>
      </c>
      <c r="G602" s="74" t="s">
        <v>1267</v>
      </c>
    </row>
    <row r="603" spans="1:7" x14ac:dyDescent="0.2">
      <c r="A603" s="40">
        <v>3380</v>
      </c>
      <c r="B603" s="39" t="s">
        <v>2001</v>
      </c>
      <c r="C603" s="40" t="s">
        <v>1281</v>
      </c>
      <c r="D603" s="74" t="s">
        <v>1269</v>
      </c>
      <c r="E603" s="74" t="s">
        <v>1266</v>
      </c>
      <c r="F603" s="74" t="s">
        <v>1268</v>
      </c>
      <c r="G603" s="74" t="s">
        <v>1268</v>
      </c>
    </row>
    <row r="604" spans="1:7" x14ac:dyDescent="0.2">
      <c r="A604" s="40">
        <v>3381</v>
      </c>
      <c r="B604" s="39" t="s">
        <v>2002</v>
      </c>
      <c r="C604" s="40" t="s">
        <v>1281</v>
      </c>
      <c r="D604" s="74" t="s">
        <v>1269</v>
      </c>
      <c r="E604" s="74" t="s">
        <v>1266</v>
      </c>
      <c r="F604" s="74" t="s">
        <v>1268</v>
      </c>
      <c r="G604" s="74" t="s">
        <v>1267</v>
      </c>
    </row>
    <row r="605" spans="1:7" x14ac:dyDescent="0.2">
      <c r="A605" s="40">
        <v>3382</v>
      </c>
      <c r="B605" s="39" t="s">
        <v>1337</v>
      </c>
      <c r="C605" s="40" t="s">
        <v>1281</v>
      </c>
      <c r="D605" s="74" t="s">
        <v>1269</v>
      </c>
      <c r="E605" s="74" t="s">
        <v>1266</v>
      </c>
      <c r="F605" s="74" t="s">
        <v>1268</v>
      </c>
      <c r="G605" s="74" t="s">
        <v>1268</v>
      </c>
    </row>
    <row r="606" spans="1:7" x14ac:dyDescent="0.2">
      <c r="A606" s="40">
        <v>3383</v>
      </c>
      <c r="B606" s="39" t="s">
        <v>2003</v>
      </c>
      <c r="C606" s="40" t="s">
        <v>1281</v>
      </c>
      <c r="D606" s="74" t="s">
        <v>1269</v>
      </c>
      <c r="E606" s="74" t="s">
        <v>1266</v>
      </c>
      <c r="F606" s="74" t="s">
        <v>1268</v>
      </c>
      <c r="G606" s="74" t="s">
        <v>1268</v>
      </c>
    </row>
    <row r="607" spans="1:7" x14ac:dyDescent="0.2">
      <c r="A607" s="40">
        <v>3384</v>
      </c>
      <c r="B607" s="39" t="s">
        <v>2004</v>
      </c>
      <c r="C607" s="40" t="s">
        <v>1281</v>
      </c>
      <c r="D607" s="74" t="s">
        <v>1269</v>
      </c>
      <c r="E607" s="74" t="s">
        <v>1266</v>
      </c>
      <c r="F607" s="74" t="s">
        <v>1268</v>
      </c>
      <c r="G607" s="74" t="s">
        <v>1267</v>
      </c>
    </row>
    <row r="608" spans="1:7" x14ac:dyDescent="0.2">
      <c r="A608" s="40">
        <v>3385</v>
      </c>
      <c r="B608" s="39" t="s">
        <v>2005</v>
      </c>
      <c r="C608" s="40" t="s">
        <v>1281</v>
      </c>
      <c r="D608" s="74" t="s">
        <v>1269</v>
      </c>
      <c r="E608" s="74" t="s">
        <v>1266</v>
      </c>
      <c r="F608" s="74" t="s">
        <v>1268</v>
      </c>
      <c r="G608" s="74" t="s">
        <v>1268</v>
      </c>
    </row>
    <row r="609" spans="1:7" x14ac:dyDescent="0.2">
      <c r="A609" s="40">
        <v>3386</v>
      </c>
      <c r="B609" s="39" t="s">
        <v>2006</v>
      </c>
      <c r="C609" s="40" t="s">
        <v>1281</v>
      </c>
      <c r="D609" s="74" t="s">
        <v>1269</v>
      </c>
      <c r="E609" s="74" t="s">
        <v>1266</v>
      </c>
      <c r="F609" s="74" t="s">
        <v>1268</v>
      </c>
      <c r="G609" s="74" t="s">
        <v>1267</v>
      </c>
    </row>
    <row r="610" spans="1:7" x14ac:dyDescent="0.2">
      <c r="A610" s="40">
        <v>3390</v>
      </c>
      <c r="B610" s="39" t="s">
        <v>2007</v>
      </c>
      <c r="C610" s="40" t="s">
        <v>1281</v>
      </c>
      <c r="D610" s="74" t="s">
        <v>1269</v>
      </c>
      <c r="E610" s="74" t="s">
        <v>1266</v>
      </c>
      <c r="F610" s="74" t="s">
        <v>1268</v>
      </c>
      <c r="G610" s="74" t="s">
        <v>1268</v>
      </c>
    </row>
    <row r="611" spans="1:7" x14ac:dyDescent="0.2">
      <c r="A611" s="40">
        <v>3392</v>
      </c>
      <c r="B611" s="39" t="s">
        <v>2008</v>
      </c>
      <c r="C611" s="40" t="s">
        <v>1281</v>
      </c>
      <c r="D611" s="74" t="s">
        <v>1269</v>
      </c>
      <c r="E611" s="74" t="s">
        <v>1266</v>
      </c>
      <c r="F611" s="74" t="s">
        <v>1268</v>
      </c>
      <c r="G611" s="74" t="s">
        <v>1267</v>
      </c>
    </row>
    <row r="612" spans="1:7" x14ac:dyDescent="0.2">
      <c r="A612" s="40">
        <v>3393</v>
      </c>
      <c r="B612" s="39" t="s">
        <v>2009</v>
      </c>
      <c r="C612" s="40" t="s">
        <v>1281</v>
      </c>
      <c r="D612" s="74" t="s">
        <v>1269</v>
      </c>
      <c r="E612" s="74" t="s">
        <v>1266</v>
      </c>
      <c r="F612" s="74" t="s">
        <v>1268</v>
      </c>
      <c r="G612" s="74" t="s">
        <v>1267</v>
      </c>
    </row>
    <row r="613" spans="1:7" x14ac:dyDescent="0.2">
      <c r="A613" s="40">
        <v>3400</v>
      </c>
      <c r="B613" s="39" t="s">
        <v>2010</v>
      </c>
      <c r="C613" s="40" t="s">
        <v>1281</v>
      </c>
      <c r="D613" s="74" t="s">
        <v>1269</v>
      </c>
      <c r="E613" s="74" t="s">
        <v>1266</v>
      </c>
      <c r="F613" s="74" t="s">
        <v>1268</v>
      </c>
      <c r="G613" s="74" t="s">
        <v>1268</v>
      </c>
    </row>
    <row r="614" spans="1:7" x14ac:dyDescent="0.2">
      <c r="A614" s="40">
        <v>3403</v>
      </c>
      <c r="B614" s="39" t="s">
        <v>2010</v>
      </c>
      <c r="C614" s="40" t="s">
        <v>1281</v>
      </c>
      <c r="D614" s="74" t="s">
        <v>1271</v>
      </c>
      <c r="E614" s="74" t="s">
        <v>1266</v>
      </c>
      <c r="F614" s="74" t="s">
        <v>1267</v>
      </c>
      <c r="G614" s="74" t="s">
        <v>1268</v>
      </c>
    </row>
    <row r="615" spans="1:7" x14ac:dyDescent="0.2">
      <c r="A615" s="40">
        <v>3411</v>
      </c>
      <c r="B615" s="39" t="s">
        <v>2011</v>
      </c>
      <c r="C615" s="40" t="s">
        <v>1281</v>
      </c>
      <c r="D615" s="74" t="s">
        <v>1271</v>
      </c>
      <c r="E615" s="74" t="s">
        <v>1266</v>
      </c>
      <c r="F615" s="74" t="s">
        <v>1267</v>
      </c>
      <c r="G615" s="74" t="s">
        <v>1268</v>
      </c>
    </row>
    <row r="616" spans="1:7" x14ac:dyDescent="0.2">
      <c r="A616" s="40">
        <v>3412</v>
      </c>
      <c r="B616" s="39" t="s">
        <v>2012</v>
      </c>
      <c r="C616" s="40" t="s">
        <v>1281</v>
      </c>
      <c r="D616" s="74" t="s">
        <v>1271</v>
      </c>
      <c r="E616" s="74" t="s">
        <v>1266</v>
      </c>
      <c r="F616" s="74" t="s">
        <v>1267</v>
      </c>
      <c r="G616" s="74" t="s">
        <v>1268</v>
      </c>
    </row>
    <row r="617" spans="1:7" x14ac:dyDescent="0.2">
      <c r="A617" s="40">
        <v>3413</v>
      </c>
      <c r="B617" s="39" t="s">
        <v>2013</v>
      </c>
      <c r="C617" s="40" t="s">
        <v>1281</v>
      </c>
      <c r="D617" s="74" t="s">
        <v>1269</v>
      </c>
      <c r="E617" s="74" t="s">
        <v>1266</v>
      </c>
      <c r="F617" s="74" t="s">
        <v>1268</v>
      </c>
      <c r="G617" s="74" t="s">
        <v>1267</v>
      </c>
    </row>
    <row r="618" spans="1:7" x14ac:dyDescent="0.2">
      <c r="A618" s="40">
        <v>3420</v>
      </c>
      <c r="B618" s="39" t="s">
        <v>2014</v>
      </c>
      <c r="C618" s="40" t="s">
        <v>1281</v>
      </c>
      <c r="D618" s="74" t="s">
        <v>1269</v>
      </c>
      <c r="E618" s="74" t="s">
        <v>1266</v>
      </c>
      <c r="F618" s="74" t="s">
        <v>1268</v>
      </c>
      <c r="G618" s="74" t="s">
        <v>1268</v>
      </c>
    </row>
    <row r="619" spans="1:7" x14ac:dyDescent="0.2">
      <c r="A619" s="40">
        <v>3421</v>
      </c>
      <c r="B619" s="39" t="s">
        <v>2015</v>
      </c>
      <c r="C619" s="40" t="s">
        <v>1281</v>
      </c>
      <c r="D619" s="74" t="s">
        <v>1269</v>
      </c>
      <c r="E619" s="74" t="s">
        <v>1266</v>
      </c>
      <c r="F619" s="74" t="s">
        <v>1268</v>
      </c>
      <c r="G619" s="74" t="s">
        <v>1267</v>
      </c>
    </row>
    <row r="620" spans="1:7" x14ac:dyDescent="0.2">
      <c r="A620" s="40">
        <v>3422</v>
      </c>
      <c r="B620" s="39" t="s">
        <v>2016</v>
      </c>
      <c r="C620" s="40" t="s">
        <v>1281</v>
      </c>
      <c r="D620" s="74" t="s">
        <v>1269</v>
      </c>
      <c r="E620" s="74" t="s">
        <v>1266</v>
      </c>
      <c r="F620" s="74" t="s">
        <v>1268</v>
      </c>
      <c r="G620" s="74" t="s">
        <v>1267</v>
      </c>
    </row>
    <row r="621" spans="1:7" x14ac:dyDescent="0.2">
      <c r="A621" s="40">
        <v>3423</v>
      </c>
      <c r="B621" s="39" t="s">
        <v>2017</v>
      </c>
      <c r="C621" s="40" t="s">
        <v>1281</v>
      </c>
      <c r="D621" s="74" t="s">
        <v>1269</v>
      </c>
      <c r="E621" s="74" t="s">
        <v>1266</v>
      </c>
      <c r="F621" s="74" t="s">
        <v>1268</v>
      </c>
      <c r="G621" s="74" t="s">
        <v>1268</v>
      </c>
    </row>
    <row r="622" spans="1:7" x14ac:dyDescent="0.2">
      <c r="A622" s="40">
        <v>3424</v>
      </c>
      <c r="B622" s="39" t="s">
        <v>2018</v>
      </c>
      <c r="C622" s="40" t="s">
        <v>1281</v>
      </c>
      <c r="D622" s="74" t="s">
        <v>1269</v>
      </c>
      <c r="E622" s="74" t="s">
        <v>1266</v>
      </c>
      <c r="F622" s="74" t="s">
        <v>1268</v>
      </c>
      <c r="G622" s="74" t="s">
        <v>1268</v>
      </c>
    </row>
    <row r="623" spans="1:7" x14ac:dyDescent="0.2">
      <c r="A623" s="40">
        <v>3425</v>
      </c>
      <c r="B623" s="39" t="s">
        <v>2019</v>
      </c>
      <c r="C623" s="40" t="s">
        <v>1281</v>
      </c>
      <c r="D623" s="74" t="s">
        <v>1269</v>
      </c>
      <c r="E623" s="74" t="s">
        <v>1266</v>
      </c>
      <c r="F623" s="74" t="s">
        <v>1268</v>
      </c>
      <c r="G623" s="74" t="s">
        <v>1268</v>
      </c>
    </row>
    <row r="624" spans="1:7" x14ac:dyDescent="0.2">
      <c r="A624" s="40">
        <v>3430</v>
      </c>
      <c r="B624" s="39" t="s">
        <v>2020</v>
      </c>
      <c r="C624" s="40" t="s">
        <v>1281</v>
      </c>
      <c r="D624" s="74" t="s">
        <v>1269</v>
      </c>
      <c r="E624" s="74" t="s">
        <v>1266</v>
      </c>
      <c r="F624" s="74" t="s">
        <v>1268</v>
      </c>
      <c r="G624" s="74" t="s">
        <v>1268</v>
      </c>
    </row>
    <row r="625" spans="1:7" x14ac:dyDescent="0.2">
      <c r="A625" s="40">
        <v>3433</v>
      </c>
      <c r="B625" s="39" t="s">
        <v>2021</v>
      </c>
      <c r="C625" s="40" t="s">
        <v>1281</v>
      </c>
      <c r="D625" s="74" t="s">
        <v>1269</v>
      </c>
      <c r="E625" s="74" t="s">
        <v>1266</v>
      </c>
      <c r="F625" s="74" t="s">
        <v>1268</v>
      </c>
      <c r="G625" s="74" t="s">
        <v>1267</v>
      </c>
    </row>
    <row r="626" spans="1:7" x14ac:dyDescent="0.2">
      <c r="A626" s="40">
        <v>3434</v>
      </c>
      <c r="B626" s="39" t="s">
        <v>2022</v>
      </c>
      <c r="C626" s="40" t="s">
        <v>1281</v>
      </c>
      <c r="D626" s="74" t="s">
        <v>1269</v>
      </c>
      <c r="E626" s="74" t="s">
        <v>1266</v>
      </c>
      <c r="F626" s="74" t="s">
        <v>1268</v>
      </c>
      <c r="G626" s="74" t="s">
        <v>1268</v>
      </c>
    </row>
    <row r="627" spans="1:7" x14ac:dyDescent="0.2">
      <c r="A627" s="40">
        <v>3435</v>
      </c>
      <c r="B627" s="39" t="s">
        <v>2023</v>
      </c>
      <c r="C627" s="40" t="s">
        <v>1281</v>
      </c>
      <c r="D627" s="74" t="s">
        <v>1269</v>
      </c>
      <c r="E627" s="74" t="s">
        <v>1266</v>
      </c>
      <c r="F627" s="74" t="s">
        <v>1268</v>
      </c>
      <c r="G627" s="74" t="s">
        <v>1268</v>
      </c>
    </row>
    <row r="628" spans="1:7" x14ac:dyDescent="0.2">
      <c r="A628" s="40">
        <v>3441</v>
      </c>
      <c r="B628" s="39" t="s">
        <v>2024</v>
      </c>
      <c r="C628" s="40" t="s">
        <v>1281</v>
      </c>
      <c r="D628" s="74" t="s">
        <v>1269</v>
      </c>
      <c r="E628" s="74" t="s">
        <v>1266</v>
      </c>
      <c r="F628" s="74" t="s">
        <v>1268</v>
      </c>
      <c r="G628" s="74" t="s">
        <v>1267</v>
      </c>
    </row>
    <row r="629" spans="1:7" x14ac:dyDescent="0.2">
      <c r="A629" s="40">
        <v>3442</v>
      </c>
      <c r="B629" s="39" t="s">
        <v>2025</v>
      </c>
      <c r="C629" s="40" t="s">
        <v>1281</v>
      </c>
      <c r="D629" s="74" t="s">
        <v>1269</v>
      </c>
      <c r="E629" s="74" t="s">
        <v>1266</v>
      </c>
      <c r="F629" s="74" t="s">
        <v>1268</v>
      </c>
      <c r="G629" s="74" t="s">
        <v>1267</v>
      </c>
    </row>
    <row r="630" spans="1:7" x14ac:dyDescent="0.2">
      <c r="A630" s="40">
        <v>3443</v>
      </c>
      <c r="B630" s="39" t="s">
        <v>2026</v>
      </c>
      <c r="C630" s="40" t="s">
        <v>1281</v>
      </c>
      <c r="D630" s="74" t="s">
        <v>1269</v>
      </c>
      <c r="E630" s="74" t="s">
        <v>1266</v>
      </c>
      <c r="F630" s="74" t="s">
        <v>1268</v>
      </c>
      <c r="G630" s="74" t="s">
        <v>1268</v>
      </c>
    </row>
    <row r="631" spans="1:7" x14ac:dyDescent="0.2">
      <c r="A631" s="40">
        <v>3451</v>
      </c>
      <c r="B631" s="39" t="s">
        <v>2027</v>
      </c>
      <c r="C631" s="40" t="s">
        <v>1281</v>
      </c>
      <c r="D631" s="74" t="s">
        <v>1269</v>
      </c>
      <c r="E631" s="74" t="s">
        <v>1266</v>
      </c>
      <c r="F631" s="74" t="s">
        <v>1268</v>
      </c>
      <c r="G631" s="74" t="s">
        <v>1268</v>
      </c>
    </row>
    <row r="632" spans="1:7" x14ac:dyDescent="0.2">
      <c r="A632" s="40">
        <v>3452</v>
      </c>
      <c r="B632" s="39" t="s">
        <v>2028</v>
      </c>
      <c r="C632" s="40" t="s">
        <v>1281</v>
      </c>
      <c r="D632" s="74" t="s">
        <v>1269</v>
      </c>
      <c r="E632" s="74" t="s">
        <v>1266</v>
      </c>
      <c r="F632" s="74" t="s">
        <v>1268</v>
      </c>
      <c r="G632" s="74" t="s">
        <v>1268</v>
      </c>
    </row>
    <row r="633" spans="1:7" x14ac:dyDescent="0.2">
      <c r="A633" s="40">
        <v>3454</v>
      </c>
      <c r="B633" s="39" t="s">
        <v>2029</v>
      </c>
      <c r="C633" s="40" t="s">
        <v>1281</v>
      </c>
      <c r="D633" s="74" t="s">
        <v>1269</v>
      </c>
      <c r="E633" s="74" t="s">
        <v>1266</v>
      </c>
      <c r="F633" s="74" t="s">
        <v>1268</v>
      </c>
      <c r="G633" s="74" t="s">
        <v>1268</v>
      </c>
    </row>
    <row r="634" spans="1:7" x14ac:dyDescent="0.2">
      <c r="A634" s="40">
        <v>3462</v>
      </c>
      <c r="B634" s="39" t="s">
        <v>2030</v>
      </c>
      <c r="C634" s="40" t="s">
        <v>1281</v>
      </c>
      <c r="D634" s="74" t="s">
        <v>1269</v>
      </c>
      <c r="E634" s="74" t="s">
        <v>1266</v>
      </c>
      <c r="F634" s="74" t="s">
        <v>1268</v>
      </c>
      <c r="G634" s="74" t="s">
        <v>1268</v>
      </c>
    </row>
    <row r="635" spans="1:7" x14ac:dyDescent="0.2">
      <c r="A635" s="40">
        <v>3463</v>
      </c>
      <c r="B635" s="39" t="s">
        <v>2031</v>
      </c>
      <c r="C635" s="40" t="s">
        <v>1281</v>
      </c>
      <c r="D635" s="74" t="s">
        <v>1269</v>
      </c>
      <c r="E635" s="74" t="s">
        <v>1266</v>
      </c>
      <c r="F635" s="74" t="s">
        <v>1268</v>
      </c>
      <c r="G635" s="74" t="s">
        <v>1267</v>
      </c>
    </row>
    <row r="636" spans="1:7" x14ac:dyDescent="0.2">
      <c r="A636" s="40">
        <v>3464</v>
      </c>
      <c r="B636" s="39" t="s">
        <v>2032</v>
      </c>
      <c r="C636" s="40" t="s">
        <v>1281</v>
      </c>
      <c r="D636" s="74" t="s">
        <v>1269</v>
      </c>
      <c r="E636" s="74" t="s">
        <v>1266</v>
      </c>
      <c r="F636" s="74" t="s">
        <v>1268</v>
      </c>
      <c r="G636" s="74" t="s">
        <v>1268</v>
      </c>
    </row>
    <row r="637" spans="1:7" x14ac:dyDescent="0.2">
      <c r="A637" s="40">
        <v>3465</v>
      </c>
      <c r="B637" s="39" t="s">
        <v>2033</v>
      </c>
      <c r="C637" s="40" t="s">
        <v>1281</v>
      </c>
      <c r="D637" s="74" t="s">
        <v>1269</v>
      </c>
      <c r="E637" s="74" t="s">
        <v>1266</v>
      </c>
      <c r="F637" s="74" t="s">
        <v>1268</v>
      </c>
      <c r="G637" s="74" t="s">
        <v>1268</v>
      </c>
    </row>
    <row r="638" spans="1:7" x14ac:dyDescent="0.2">
      <c r="A638" s="40">
        <v>3470</v>
      </c>
      <c r="B638" s="39" t="s">
        <v>2034</v>
      </c>
      <c r="C638" s="40" t="s">
        <v>1281</v>
      </c>
      <c r="D638" s="74" t="s">
        <v>1269</v>
      </c>
      <c r="E638" s="74" t="s">
        <v>1266</v>
      </c>
      <c r="F638" s="74" t="s">
        <v>1268</v>
      </c>
      <c r="G638" s="74" t="s">
        <v>1268</v>
      </c>
    </row>
    <row r="639" spans="1:7" x14ac:dyDescent="0.2">
      <c r="A639" s="40">
        <v>3471</v>
      </c>
      <c r="B639" s="39" t="s">
        <v>2035</v>
      </c>
      <c r="C639" s="40" t="s">
        <v>1281</v>
      </c>
      <c r="D639" s="74" t="s">
        <v>1269</v>
      </c>
      <c r="E639" s="74" t="s">
        <v>1266</v>
      </c>
      <c r="F639" s="74" t="s">
        <v>1268</v>
      </c>
      <c r="G639" s="74" t="s">
        <v>1268</v>
      </c>
    </row>
    <row r="640" spans="1:7" x14ac:dyDescent="0.2">
      <c r="A640" s="40">
        <v>3472</v>
      </c>
      <c r="B640" s="39" t="s">
        <v>2036</v>
      </c>
      <c r="C640" s="40" t="s">
        <v>1281</v>
      </c>
      <c r="D640" s="74" t="s">
        <v>1269</v>
      </c>
      <c r="E640" s="74" t="s">
        <v>1266</v>
      </c>
      <c r="F640" s="74" t="s">
        <v>1268</v>
      </c>
      <c r="G640" s="74" t="s">
        <v>1267</v>
      </c>
    </row>
    <row r="641" spans="1:7" x14ac:dyDescent="0.2">
      <c r="A641" s="40">
        <v>3473</v>
      </c>
      <c r="B641" s="39" t="s">
        <v>2037</v>
      </c>
      <c r="C641" s="40" t="s">
        <v>1281</v>
      </c>
      <c r="D641" s="74" t="s">
        <v>1269</v>
      </c>
      <c r="E641" s="74" t="s">
        <v>1266</v>
      </c>
      <c r="F641" s="74" t="s">
        <v>1268</v>
      </c>
      <c r="G641" s="74" t="s">
        <v>1267</v>
      </c>
    </row>
    <row r="642" spans="1:7" x14ac:dyDescent="0.2">
      <c r="A642" s="40">
        <v>3474</v>
      </c>
      <c r="B642" s="39" t="s">
        <v>2051</v>
      </c>
      <c r="C642" s="40" t="s">
        <v>1281</v>
      </c>
      <c r="D642" s="74" t="s">
        <v>1269</v>
      </c>
      <c r="E642" s="74" t="s">
        <v>1266</v>
      </c>
      <c r="F642" s="74" t="s">
        <v>1268</v>
      </c>
      <c r="G642" s="74" t="s">
        <v>1267</v>
      </c>
    </row>
    <row r="643" spans="1:7" x14ac:dyDescent="0.2">
      <c r="A643" s="40">
        <v>3481</v>
      </c>
      <c r="B643" s="39" t="s">
        <v>2053</v>
      </c>
      <c r="C643" s="40" t="s">
        <v>1281</v>
      </c>
      <c r="D643" s="74" t="s">
        <v>1269</v>
      </c>
      <c r="E643" s="74" t="s">
        <v>1266</v>
      </c>
      <c r="F643" s="74" t="s">
        <v>1268</v>
      </c>
      <c r="G643" s="74" t="s">
        <v>1268</v>
      </c>
    </row>
    <row r="644" spans="1:7" x14ac:dyDescent="0.2">
      <c r="A644" s="40">
        <v>3482</v>
      </c>
      <c r="B644" s="39" t="s">
        <v>2054</v>
      </c>
      <c r="C644" s="40" t="s">
        <v>1281</v>
      </c>
      <c r="D644" s="74" t="s">
        <v>1269</v>
      </c>
      <c r="E644" s="74" t="s">
        <v>1266</v>
      </c>
      <c r="F644" s="74" t="s">
        <v>1268</v>
      </c>
      <c r="G644" s="74" t="s">
        <v>1267</v>
      </c>
    </row>
    <row r="645" spans="1:7" x14ac:dyDescent="0.2">
      <c r="A645" s="40">
        <v>3483</v>
      </c>
      <c r="B645" s="39" t="s">
        <v>2055</v>
      </c>
      <c r="C645" s="40" t="s">
        <v>1281</v>
      </c>
      <c r="D645" s="74" t="s">
        <v>1269</v>
      </c>
      <c r="E645" s="74" t="s">
        <v>1266</v>
      </c>
      <c r="F645" s="74" t="s">
        <v>1268</v>
      </c>
      <c r="G645" s="74" t="s">
        <v>1267</v>
      </c>
    </row>
    <row r="646" spans="1:7" x14ac:dyDescent="0.2">
      <c r="A646" s="40">
        <v>3484</v>
      </c>
      <c r="B646" s="39" t="s">
        <v>2056</v>
      </c>
      <c r="C646" s="40" t="s">
        <v>1281</v>
      </c>
      <c r="D646" s="74" t="s">
        <v>1269</v>
      </c>
      <c r="E646" s="74" t="s">
        <v>1266</v>
      </c>
      <c r="F646" s="74" t="s">
        <v>1268</v>
      </c>
      <c r="G646" s="74" t="s">
        <v>1268</v>
      </c>
    </row>
    <row r="647" spans="1:7" x14ac:dyDescent="0.2">
      <c r="A647" s="40">
        <v>3485</v>
      </c>
      <c r="B647" s="39" t="s">
        <v>2057</v>
      </c>
      <c r="C647" s="40" t="s">
        <v>1281</v>
      </c>
      <c r="D647" s="74" t="s">
        <v>1269</v>
      </c>
      <c r="E647" s="74" t="s">
        <v>1266</v>
      </c>
      <c r="F647" s="74" t="s">
        <v>1268</v>
      </c>
      <c r="G647" s="74" t="s">
        <v>1267</v>
      </c>
    </row>
    <row r="648" spans="1:7" x14ac:dyDescent="0.2">
      <c r="A648" s="40">
        <v>3491</v>
      </c>
      <c r="B648" s="39" t="s">
        <v>2058</v>
      </c>
      <c r="C648" s="40" t="s">
        <v>1281</v>
      </c>
      <c r="D648" s="74" t="s">
        <v>1269</v>
      </c>
      <c r="E648" s="74" t="s">
        <v>1266</v>
      </c>
      <c r="F648" s="74" t="s">
        <v>1268</v>
      </c>
      <c r="G648" s="74" t="s">
        <v>1268</v>
      </c>
    </row>
    <row r="649" spans="1:7" x14ac:dyDescent="0.2">
      <c r="A649" s="40">
        <v>3492</v>
      </c>
      <c r="B649" s="39" t="s">
        <v>2059</v>
      </c>
      <c r="C649" s="40" t="s">
        <v>1281</v>
      </c>
      <c r="D649" s="74" t="s">
        <v>1269</v>
      </c>
      <c r="E649" s="74" t="s">
        <v>1266</v>
      </c>
      <c r="F649" s="74" t="s">
        <v>1268</v>
      </c>
      <c r="G649" s="74" t="s">
        <v>1268</v>
      </c>
    </row>
    <row r="650" spans="1:7" x14ac:dyDescent="0.2">
      <c r="A650" s="40">
        <v>3493</v>
      </c>
      <c r="B650" s="39" t="s">
        <v>2060</v>
      </c>
      <c r="C650" s="40" t="s">
        <v>1281</v>
      </c>
      <c r="D650" s="74" t="s">
        <v>1269</v>
      </c>
      <c r="E650" s="74" t="s">
        <v>1266</v>
      </c>
      <c r="F650" s="74" t="s">
        <v>1268</v>
      </c>
      <c r="G650" s="74" t="s">
        <v>1268</v>
      </c>
    </row>
    <row r="651" spans="1:7" x14ac:dyDescent="0.2">
      <c r="A651" s="40">
        <v>3494</v>
      </c>
      <c r="B651" s="39" t="s">
        <v>2061</v>
      </c>
      <c r="C651" s="40" t="s">
        <v>1281</v>
      </c>
      <c r="D651" s="74" t="s">
        <v>1269</v>
      </c>
      <c r="E651" s="74" t="s">
        <v>1266</v>
      </c>
      <c r="F651" s="74" t="s">
        <v>1268</v>
      </c>
      <c r="G651" s="74" t="s">
        <v>1268</v>
      </c>
    </row>
    <row r="652" spans="1:7" x14ac:dyDescent="0.2">
      <c r="A652" s="40">
        <v>3495</v>
      </c>
      <c r="B652" s="39" t="s">
        <v>2062</v>
      </c>
      <c r="C652" s="40" t="s">
        <v>1281</v>
      </c>
      <c r="D652" s="74" t="s">
        <v>1269</v>
      </c>
      <c r="E652" s="74" t="s">
        <v>1266</v>
      </c>
      <c r="F652" s="74" t="s">
        <v>1268</v>
      </c>
      <c r="G652" s="74" t="s">
        <v>1267</v>
      </c>
    </row>
    <row r="653" spans="1:7" x14ac:dyDescent="0.2">
      <c r="A653" s="40">
        <v>3500</v>
      </c>
      <c r="B653" s="39" t="s">
        <v>2063</v>
      </c>
      <c r="C653" s="40" t="s">
        <v>1281</v>
      </c>
      <c r="D653" s="74" t="s">
        <v>1269</v>
      </c>
      <c r="E653" s="74" t="s">
        <v>1266</v>
      </c>
      <c r="F653" s="74" t="s">
        <v>1268</v>
      </c>
      <c r="G653" s="74" t="s">
        <v>1268</v>
      </c>
    </row>
    <row r="654" spans="1:7" x14ac:dyDescent="0.2">
      <c r="A654" s="40">
        <v>3502</v>
      </c>
      <c r="B654" s="39" t="s">
        <v>2064</v>
      </c>
      <c r="C654" s="40" t="s">
        <v>1281</v>
      </c>
      <c r="D654" s="74" t="s">
        <v>1271</v>
      </c>
      <c r="E654" s="74" t="s">
        <v>1266</v>
      </c>
      <c r="F654" s="74" t="s">
        <v>1267</v>
      </c>
      <c r="G654" s="74" t="s">
        <v>1268</v>
      </c>
    </row>
    <row r="655" spans="1:7" x14ac:dyDescent="0.2">
      <c r="A655" s="40">
        <v>3504</v>
      </c>
      <c r="B655" s="39" t="s">
        <v>2065</v>
      </c>
      <c r="C655" s="40" t="s">
        <v>1281</v>
      </c>
      <c r="D655" s="74" t="s">
        <v>1271</v>
      </c>
      <c r="E655" s="74" t="s">
        <v>1266</v>
      </c>
      <c r="F655" s="74" t="s">
        <v>1267</v>
      </c>
      <c r="G655" s="74" t="s">
        <v>1268</v>
      </c>
    </row>
    <row r="656" spans="1:7" x14ac:dyDescent="0.2">
      <c r="A656" s="40">
        <v>3506</v>
      </c>
      <c r="B656" s="39" t="s">
        <v>2066</v>
      </c>
      <c r="C656" s="40" t="s">
        <v>1281</v>
      </c>
      <c r="D656" s="74" t="s">
        <v>1269</v>
      </c>
      <c r="E656" s="74" t="s">
        <v>1266</v>
      </c>
      <c r="F656" s="74" t="s">
        <v>1268</v>
      </c>
      <c r="G656" s="74" t="s">
        <v>1267</v>
      </c>
    </row>
    <row r="657" spans="1:7" x14ac:dyDescent="0.2">
      <c r="A657" s="40">
        <v>3507</v>
      </c>
      <c r="B657" s="39" t="s">
        <v>2067</v>
      </c>
      <c r="C657" s="40" t="s">
        <v>1281</v>
      </c>
      <c r="D657" s="74" t="s">
        <v>1271</v>
      </c>
      <c r="E657" s="74" t="s">
        <v>1266</v>
      </c>
      <c r="F657" s="74" t="s">
        <v>1267</v>
      </c>
      <c r="G657" s="74" t="s">
        <v>1268</v>
      </c>
    </row>
    <row r="658" spans="1:7" x14ac:dyDescent="0.2">
      <c r="A658" s="40">
        <v>3508</v>
      </c>
      <c r="B658" s="39" t="s">
        <v>2068</v>
      </c>
      <c r="C658" s="40" t="s">
        <v>1281</v>
      </c>
      <c r="D658" s="74" t="s">
        <v>1269</v>
      </c>
      <c r="E658" s="74" t="s">
        <v>1266</v>
      </c>
      <c r="F658" s="74" t="s">
        <v>1268</v>
      </c>
      <c r="G658" s="74" t="s">
        <v>1267</v>
      </c>
    </row>
    <row r="659" spans="1:7" x14ac:dyDescent="0.2">
      <c r="A659" s="40">
        <v>3511</v>
      </c>
      <c r="B659" s="39" t="s">
        <v>2069</v>
      </c>
      <c r="C659" s="40" t="s">
        <v>1281</v>
      </c>
      <c r="D659" s="74" t="s">
        <v>1269</v>
      </c>
      <c r="E659" s="74" t="s">
        <v>1266</v>
      </c>
      <c r="F659" s="74" t="s">
        <v>1268</v>
      </c>
      <c r="G659" s="74" t="s">
        <v>1268</v>
      </c>
    </row>
    <row r="660" spans="1:7" x14ac:dyDescent="0.2">
      <c r="A660" s="40">
        <v>3512</v>
      </c>
      <c r="B660" s="39" t="s">
        <v>2070</v>
      </c>
      <c r="C660" s="40" t="s">
        <v>1281</v>
      </c>
      <c r="D660" s="74" t="s">
        <v>1269</v>
      </c>
      <c r="E660" s="74" t="s">
        <v>1266</v>
      </c>
      <c r="F660" s="74" t="s">
        <v>1268</v>
      </c>
      <c r="G660" s="74" t="s">
        <v>1268</v>
      </c>
    </row>
    <row r="661" spans="1:7" x14ac:dyDescent="0.2">
      <c r="A661" s="40">
        <v>3521</v>
      </c>
      <c r="B661" s="39" t="s">
        <v>2071</v>
      </c>
      <c r="C661" s="40" t="s">
        <v>1281</v>
      </c>
      <c r="D661" s="74" t="s">
        <v>1269</v>
      </c>
      <c r="E661" s="74" t="s">
        <v>1266</v>
      </c>
      <c r="F661" s="74" t="s">
        <v>1268</v>
      </c>
      <c r="G661" s="74" t="s">
        <v>1267</v>
      </c>
    </row>
    <row r="662" spans="1:7" x14ac:dyDescent="0.2">
      <c r="A662" s="40">
        <v>3522</v>
      </c>
      <c r="B662" s="39" t="s">
        <v>2072</v>
      </c>
      <c r="C662" s="40" t="s">
        <v>1281</v>
      </c>
      <c r="D662" s="74" t="s">
        <v>1269</v>
      </c>
      <c r="E662" s="74" t="s">
        <v>1266</v>
      </c>
      <c r="F662" s="74" t="s">
        <v>1268</v>
      </c>
      <c r="G662" s="74" t="s">
        <v>1267</v>
      </c>
    </row>
    <row r="663" spans="1:7" x14ac:dyDescent="0.2">
      <c r="A663" s="40">
        <v>3524</v>
      </c>
      <c r="B663" s="39" t="s">
        <v>2073</v>
      </c>
      <c r="C663" s="40" t="s">
        <v>1281</v>
      </c>
      <c r="D663" s="74" t="s">
        <v>1269</v>
      </c>
      <c r="E663" s="74" t="s">
        <v>1266</v>
      </c>
      <c r="F663" s="74" t="s">
        <v>1268</v>
      </c>
      <c r="G663" s="74" t="s">
        <v>1268</v>
      </c>
    </row>
    <row r="664" spans="1:7" x14ac:dyDescent="0.2">
      <c r="A664" s="40">
        <v>3525</v>
      </c>
      <c r="B664" s="39" t="s">
        <v>2074</v>
      </c>
      <c r="C664" s="40" t="s">
        <v>1281</v>
      </c>
      <c r="D664" s="74" t="s">
        <v>1269</v>
      </c>
      <c r="E664" s="74" t="s">
        <v>1266</v>
      </c>
      <c r="F664" s="74" t="s">
        <v>1268</v>
      </c>
      <c r="G664" s="74" t="s">
        <v>1267</v>
      </c>
    </row>
    <row r="665" spans="1:7" x14ac:dyDescent="0.2">
      <c r="A665" s="40">
        <v>3531</v>
      </c>
      <c r="B665" s="39" t="s">
        <v>2077</v>
      </c>
      <c r="C665" s="40" t="s">
        <v>1281</v>
      </c>
      <c r="D665" s="74" t="s">
        <v>1269</v>
      </c>
      <c r="E665" s="74" t="s">
        <v>1266</v>
      </c>
      <c r="F665" s="74" t="s">
        <v>1268</v>
      </c>
      <c r="G665" s="74" t="s">
        <v>1267</v>
      </c>
    </row>
    <row r="666" spans="1:7" x14ac:dyDescent="0.2">
      <c r="A666" s="40">
        <v>3532</v>
      </c>
      <c r="B666" s="39" t="s">
        <v>2078</v>
      </c>
      <c r="C666" s="40" t="s">
        <v>1281</v>
      </c>
      <c r="D666" s="74" t="s">
        <v>1269</v>
      </c>
      <c r="E666" s="74" t="s">
        <v>1266</v>
      </c>
      <c r="F666" s="74" t="s">
        <v>1268</v>
      </c>
      <c r="G666" s="74" t="s">
        <v>1268</v>
      </c>
    </row>
    <row r="667" spans="1:7" x14ac:dyDescent="0.2">
      <c r="A667" s="40">
        <v>3533</v>
      </c>
      <c r="B667" s="39" t="s">
        <v>2079</v>
      </c>
      <c r="C667" s="40" t="s">
        <v>1281</v>
      </c>
      <c r="D667" s="74" t="s">
        <v>1269</v>
      </c>
      <c r="E667" s="74" t="s">
        <v>1266</v>
      </c>
      <c r="F667" s="74" t="s">
        <v>1268</v>
      </c>
      <c r="G667" s="74" t="s">
        <v>1267</v>
      </c>
    </row>
    <row r="668" spans="1:7" x14ac:dyDescent="0.2">
      <c r="A668" s="40">
        <v>3541</v>
      </c>
      <c r="B668" s="39" t="s">
        <v>2080</v>
      </c>
      <c r="C668" s="40" t="s">
        <v>1281</v>
      </c>
      <c r="D668" s="74" t="s">
        <v>1269</v>
      </c>
      <c r="E668" s="74" t="s">
        <v>1266</v>
      </c>
      <c r="F668" s="74" t="s">
        <v>1268</v>
      </c>
      <c r="G668" s="74" t="s">
        <v>1268</v>
      </c>
    </row>
    <row r="669" spans="1:7" x14ac:dyDescent="0.2">
      <c r="A669" s="40">
        <v>3542</v>
      </c>
      <c r="B669" s="39" t="s">
        <v>2081</v>
      </c>
      <c r="C669" s="40" t="s">
        <v>1281</v>
      </c>
      <c r="D669" s="74" t="s">
        <v>1269</v>
      </c>
      <c r="E669" s="74" t="s">
        <v>1266</v>
      </c>
      <c r="F669" s="74" t="s">
        <v>1268</v>
      </c>
      <c r="G669" s="74" t="s">
        <v>1268</v>
      </c>
    </row>
    <row r="670" spans="1:7" x14ac:dyDescent="0.2">
      <c r="A670" s="40">
        <v>3543</v>
      </c>
      <c r="B670" s="39" t="s">
        <v>2082</v>
      </c>
      <c r="C670" s="40" t="s">
        <v>1281</v>
      </c>
      <c r="D670" s="74" t="s">
        <v>1269</v>
      </c>
      <c r="E670" s="74" t="s">
        <v>1266</v>
      </c>
      <c r="F670" s="74" t="s">
        <v>1268</v>
      </c>
      <c r="G670" s="74" t="s">
        <v>1267</v>
      </c>
    </row>
    <row r="671" spans="1:7" x14ac:dyDescent="0.2">
      <c r="A671" s="40">
        <v>3544</v>
      </c>
      <c r="B671" s="39" t="s">
        <v>2083</v>
      </c>
      <c r="C671" s="40" t="s">
        <v>1281</v>
      </c>
      <c r="D671" s="74" t="s">
        <v>1269</v>
      </c>
      <c r="E671" s="74" t="s">
        <v>1266</v>
      </c>
      <c r="F671" s="74" t="s">
        <v>1268</v>
      </c>
      <c r="G671" s="74" t="s">
        <v>1267</v>
      </c>
    </row>
    <row r="672" spans="1:7" x14ac:dyDescent="0.2">
      <c r="A672" s="40">
        <v>3550</v>
      </c>
      <c r="B672" s="39" t="s">
        <v>2084</v>
      </c>
      <c r="C672" s="40" t="s">
        <v>1281</v>
      </c>
      <c r="D672" s="74" t="s">
        <v>1269</v>
      </c>
      <c r="E672" s="74" t="s">
        <v>1266</v>
      </c>
      <c r="F672" s="74" t="s">
        <v>1268</v>
      </c>
      <c r="G672" s="74" t="s">
        <v>1268</v>
      </c>
    </row>
    <row r="673" spans="1:7" x14ac:dyDescent="0.2">
      <c r="A673" s="40">
        <v>3552</v>
      </c>
      <c r="B673" s="39" t="s">
        <v>2085</v>
      </c>
      <c r="C673" s="40" t="s">
        <v>1281</v>
      </c>
      <c r="D673" s="74" t="s">
        <v>1269</v>
      </c>
      <c r="E673" s="74" t="s">
        <v>1266</v>
      </c>
      <c r="F673" s="74" t="s">
        <v>1268</v>
      </c>
      <c r="G673" s="74" t="s">
        <v>1268</v>
      </c>
    </row>
    <row r="674" spans="1:7" x14ac:dyDescent="0.2">
      <c r="A674" s="40">
        <v>3553</v>
      </c>
      <c r="B674" s="39" t="s">
        <v>2086</v>
      </c>
      <c r="C674" s="40" t="s">
        <v>1281</v>
      </c>
      <c r="D674" s="74" t="s">
        <v>1269</v>
      </c>
      <c r="E674" s="74" t="s">
        <v>1266</v>
      </c>
      <c r="F674" s="74" t="s">
        <v>1268</v>
      </c>
      <c r="G674" s="74" t="s">
        <v>1268</v>
      </c>
    </row>
    <row r="675" spans="1:7" x14ac:dyDescent="0.2">
      <c r="A675" s="40">
        <v>3561</v>
      </c>
      <c r="B675" s="39" t="s">
        <v>2087</v>
      </c>
      <c r="C675" s="40" t="s">
        <v>1281</v>
      </c>
      <c r="D675" s="74" t="s">
        <v>1269</v>
      </c>
      <c r="E675" s="74" t="s">
        <v>1266</v>
      </c>
      <c r="F675" s="74" t="s">
        <v>1268</v>
      </c>
      <c r="G675" s="74" t="s">
        <v>1267</v>
      </c>
    </row>
    <row r="676" spans="1:7" x14ac:dyDescent="0.2">
      <c r="A676" s="40">
        <v>3562</v>
      </c>
      <c r="B676" s="39" t="s">
        <v>2088</v>
      </c>
      <c r="C676" s="40" t="s">
        <v>1281</v>
      </c>
      <c r="D676" s="74" t="s">
        <v>1269</v>
      </c>
      <c r="E676" s="74" t="s">
        <v>1266</v>
      </c>
      <c r="F676" s="74" t="s">
        <v>1268</v>
      </c>
      <c r="G676" s="74" t="s">
        <v>1267</v>
      </c>
    </row>
    <row r="677" spans="1:7" x14ac:dyDescent="0.2">
      <c r="A677" s="40">
        <v>3564</v>
      </c>
      <c r="B677" s="39" t="s">
        <v>2089</v>
      </c>
      <c r="C677" s="40" t="s">
        <v>1281</v>
      </c>
      <c r="D677" s="74" t="s">
        <v>1269</v>
      </c>
      <c r="E677" s="74" t="s">
        <v>1266</v>
      </c>
      <c r="F677" s="74" t="s">
        <v>1268</v>
      </c>
      <c r="G677" s="74" t="s">
        <v>1267</v>
      </c>
    </row>
    <row r="678" spans="1:7" x14ac:dyDescent="0.2">
      <c r="A678" s="40">
        <v>3571</v>
      </c>
      <c r="B678" s="39" t="s">
        <v>2090</v>
      </c>
      <c r="C678" s="40" t="s">
        <v>1281</v>
      </c>
      <c r="D678" s="74" t="s">
        <v>1269</v>
      </c>
      <c r="E678" s="74" t="s">
        <v>1266</v>
      </c>
      <c r="F678" s="74" t="s">
        <v>1268</v>
      </c>
      <c r="G678" s="74" t="s">
        <v>1268</v>
      </c>
    </row>
    <row r="679" spans="1:7" x14ac:dyDescent="0.2">
      <c r="A679" s="40">
        <v>3572</v>
      </c>
      <c r="B679" s="39" t="s">
        <v>2091</v>
      </c>
      <c r="C679" s="40" t="s">
        <v>1281</v>
      </c>
      <c r="D679" s="74" t="s">
        <v>1269</v>
      </c>
      <c r="E679" s="74" t="s">
        <v>1266</v>
      </c>
      <c r="F679" s="74" t="s">
        <v>1268</v>
      </c>
      <c r="G679" s="74" t="s">
        <v>1267</v>
      </c>
    </row>
    <row r="680" spans="1:7" x14ac:dyDescent="0.2">
      <c r="A680" s="40">
        <v>3573</v>
      </c>
      <c r="B680" s="39" t="s">
        <v>2092</v>
      </c>
      <c r="C680" s="40" t="s">
        <v>1281</v>
      </c>
      <c r="D680" s="74" t="s">
        <v>1269</v>
      </c>
      <c r="E680" s="74" t="s">
        <v>1266</v>
      </c>
      <c r="F680" s="74" t="s">
        <v>1268</v>
      </c>
      <c r="G680" s="74" t="s">
        <v>1267</v>
      </c>
    </row>
    <row r="681" spans="1:7" x14ac:dyDescent="0.2">
      <c r="A681" s="40">
        <v>3580</v>
      </c>
      <c r="B681" s="39" t="s">
        <v>2093</v>
      </c>
      <c r="C681" s="40" t="s">
        <v>1281</v>
      </c>
      <c r="D681" s="74" t="s">
        <v>1269</v>
      </c>
      <c r="E681" s="74" t="s">
        <v>1266</v>
      </c>
      <c r="F681" s="74" t="s">
        <v>1268</v>
      </c>
      <c r="G681" s="74" t="s">
        <v>1268</v>
      </c>
    </row>
    <row r="682" spans="1:7" x14ac:dyDescent="0.2">
      <c r="A682" s="40">
        <v>3591</v>
      </c>
      <c r="B682" s="39" t="s">
        <v>2094</v>
      </c>
      <c r="C682" s="40" t="s">
        <v>1281</v>
      </c>
      <c r="D682" s="74" t="s">
        <v>1269</v>
      </c>
      <c r="E682" s="74" t="s">
        <v>1266</v>
      </c>
      <c r="F682" s="74" t="s">
        <v>1268</v>
      </c>
      <c r="G682" s="74" t="s">
        <v>1267</v>
      </c>
    </row>
    <row r="683" spans="1:7" x14ac:dyDescent="0.2">
      <c r="A683" s="40">
        <v>3592</v>
      </c>
      <c r="B683" s="39" t="s">
        <v>2095</v>
      </c>
      <c r="C683" s="40" t="s">
        <v>1281</v>
      </c>
      <c r="D683" s="74" t="s">
        <v>1269</v>
      </c>
      <c r="E683" s="74" t="s">
        <v>1266</v>
      </c>
      <c r="F683" s="74" t="s">
        <v>1268</v>
      </c>
      <c r="G683" s="74" t="s">
        <v>1267</v>
      </c>
    </row>
    <row r="684" spans="1:7" x14ac:dyDescent="0.2">
      <c r="A684" s="40">
        <v>3593</v>
      </c>
      <c r="B684" s="39" t="s">
        <v>2096</v>
      </c>
      <c r="C684" s="40" t="s">
        <v>1281</v>
      </c>
      <c r="D684" s="74" t="s">
        <v>1269</v>
      </c>
      <c r="E684" s="74" t="s">
        <v>1266</v>
      </c>
      <c r="F684" s="74" t="s">
        <v>1268</v>
      </c>
      <c r="G684" s="74" t="s">
        <v>1268</v>
      </c>
    </row>
    <row r="685" spans="1:7" x14ac:dyDescent="0.2">
      <c r="A685" s="40">
        <v>3594</v>
      </c>
      <c r="B685" s="39" t="s">
        <v>2097</v>
      </c>
      <c r="C685" s="40" t="s">
        <v>1281</v>
      </c>
      <c r="D685" s="74" t="s">
        <v>1269</v>
      </c>
      <c r="E685" s="74" t="s">
        <v>1266</v>
      </c>
      <c r="F685" s="74" t="s">
        <v>1268</v>
      </c>
      <c r="G685" s="74" t="s">
        <v>1267</v>
      </c>
    </row>
    <row r="686" spans="1:7" x14ac:dyDescent="0.2">
      <c r="A686" s="40">
        <v>3595</v>
      </c>
      <c r="B686" s="39" t="s">
        <v>2098</v>
      </c>
      <c r="C686" s="40" t="s">
        <v>1281</v>
      </c>
      <c r="D686" s="74" t="s">
        <v>1269</v>
      </c>
      <c r="E686" s="74" t="s">
        <v>1266</v>
      </c>
      <c r="F686" s="74" t="s">
        <v>1268</v>
      </c>
      <c r="G686" s="74" t="s">
        <v>1267</v>
      </c>
    </row>
    <row r="687" spans="1:7" x14ac:dyDescent="0.2">
      <c r="A687" s="40">
        <v>3601</v>
      </c>
      <c r="B687" s="39" t="s">
        <v>2099</v>
      </c>
      <c r="C687" s="40" t="s">
        <v>1281</v>
      </c>
      <c r="D687" s="74" t="s">
        <v>1269</v>
      </c>
      <c r="E687" s="74" t="s">
        <v>1266</v>
      </c>
      <c r="F687" s="74" t="s">
        <v>1268</v>
      </c>
      <c r="G687" s="74" t="s">
        <v>1267</v>
      </c>
    </row>
    <row r="688" spans="1:7" x14ac:dyDescent="0.2">
      <c r="A688" s="40">
        <v>3602</v>
      </c>
      <c r="B688" s="39" t="s">
        <v>2100</v>
      </c>
      <c r="C688" s="40" t="s">
        <v>1281</v>
      </c>
      <c r="D688" s="74" t="s">
        <v>1269</v>
      </c>
      <c r="E688" s="74" t="s">
        <v>1266</v>
      </c>
      <c r="F688" s="74" t="s">
        <v>1268</v>
      </c>
      <c r="G688" s="74" t="s">
        <v>1267</v>
      </c>
    </row>
    <row r="689" spans="1:7" x14ac:dyDescent="0.2">
      <c r="A689" s="40">
        <v>3610</v>
      </c>
      <c r="B689" s="39" t="s">
        <v>2101</v>
      </c>
      <c r="C689" s="40" t="s">
        <v>1281</v>
      </c>
      <c r="D689" s="74" t="s">
        <v>1269</v>
      </c>
      <c r="E689" s="74" t="s">
        <v>1266</v>
      </c>
      <c r="F689" s="74" t="s">
        <v>1268</v>
      </c>
      <c r="G689" s="74" t="s">
        <v>1268</v>
      </c>
    </row>
    <row r="690" spans="1:7" x14ac:dyDescent="0.2">
      <c r="A690" s="40">
        <v>3611</v>
      </c>
      <c r="B690" s="39" t="s">
        <v>2102</v>
      </c>
      <c r="C690" s="40" t="s">
        <v>1281</v>
      </c>
      <c r="D690" s="74" t="s">
        <v>1269</v>
      </c>
      <c r="E690" s="74" t="s">
        <v>1266</v>
      </c>
      <c r="F690" s="74" t="s">
        <v>1268</v>
      </c>
      <c r="G690" s="74" t="s">
        <v>1268</v>
      </c>
    </row>
    <row r="691" spans="1:7" x14ac:dyDescent="0.2">
      <c r="A691" s="40">
        <v>3613</v>
      </c>
      <c r="B691" s="39" t="s">
        <v>538</v>
      </c>
      <c r="C691" s="40" t="s">
        <v>1281</v>
      </c>
      <c r="D691" s="74" t="s">
        <v>1269</v>
      </c>
      <c r="E691" s="74" t="s">
        <v>1266</v>
      </c>
      <c r="F691" s="74" t="s">
        <v>1268</v>
      </c>
      <c r="G691" s="74" t="s">
        <v>1267</v>
      </c>
    </row>
    <row r="692" spans="1:7" x14ac:dyDescent="0.2">
      <c r="A692" s="40">
        <v>3620</v>
      </c>
      <c r="B692" s="39" t="s">
        <v>539</v>
      </c>
      <c r="C692" s="40" t="s">
        <v>1281</v>
      </c>
      <c r="D692" s="74" t="s">
        <v>1269</v>
      </c>
      <c r="E692" s="74" t="s">
        <v>1266</v>
      </c>
      <c r="F692" s="74" t="s">
        <v>1268</v>
      </c>
      <c r="G692" s="74" t="s">
        <v>1268</v>
      </c>
    </row>
    <row r="693" spans="1:7" x14ac:dyDescent="0.2">
      <c r="A693" s="40">
        <v>3621</v>
      </c>
      <c r="B693" s="39" t="s">
        <v>540</v>
      </c>
      <c r="C693" s="40" t="s">
        <v>1281</v>
      </c>
      <c r="D693" s="74" t="s">
        <v>1269</v>
      </c>
      <c r="E693" s="74" t="s">
        <v>1266</v>
      </c>
      <c r="F693" s="74" t="s">
        <v>1268</v>
      </c>
      <c r="G693" s="74" t="s">
        <v>1267</v>
      </c>
    </row>
    <row r="694" spans="1:7" x14ac:dyDescent="0.2">
      <c r="A694" s="40">
        <v>3622</v>
      </c>
      <c r="B694" s="39" t="s">
        <v>541</v>
      </c>
      <c r="C694" s="40" t="s">
        <v>1281</v>
      </c>
      <c r="D694" s="74" t="s">
        <v>1269</v>
      </c>
      <c r="E694" s="74" t="s">
        <v>1266</v>
      </c>
      <c r="F694" s="74" t="s">
        <v>1268</v>
      </c>
      <c r="G694" s="74" t="s">
        <v>1268</v>
      </c>
    </row>
    <row r="695" spans="1:7" x14ac:dyDescent="0.2">
      <c r="A695" s="40">
        <v>3623</v>
      </c>
      <c r="B695" s="39" t="s">
        <v>542</v>
      </c>
      <c r="C695" s="40" t="s">
        <v>1281</v>
      </c>
      <c r="D695" s="74" t="s">
        <v>1269</v>
      </c>
      <c r="E695" s="74" t="s">
        <v>1266</v>
      </c>
      <c r="F695" s="74" t="s">
        <v>1268</v>
      </c>
      <c r="G695" s="74" t="s">
        <v>1267</v>
      </c>
    </row>
    <row r="696" spans="1:7" x14ac:dyDescent="0.2">
      <c r="A696" s="40">
        <v>3631</v>
      </c>
      <c r="B696" s="39" t="s">
        <v>543</v>
      </c>
      <c r="C696" s="40" t="s">
        <v>1281</v>
      </c>
      <c r="D696" s="74" t="s">
        <v>1269</v>
      </c>
      <c r="E696" s="74" t="s">
        <v>1266</v>
      </c>
      <c r="F696" s="74" t="s">
        <v>1268</v>
      </c>
      <c r="G696" s="74" t="s">
        <v>1268</v>
      </c>
    </row>
    <row r="697" spans="1:7" x14ac:dyDescent="0.2">
      <c r="A697" s="40">
        <v>3632</v>
      </c>
      <c r="B697" s="39" t="s">
        <v>544</v>
      </c>
      <c r="C697" s="40" t="s">
        <v>1281</v>
      </c>
      <c r="D697" s="74" t="s">
        <v>1269</v>
      </c>
      <c r="E697" s="74" t="s">
        <v>1266</v>
      </c>
      <c r="F697" s="74" t="s">
        <v>1268</v>
      </c>
      <c r="G697" s="74" t="s">
        <v>1268</v>
      </c>
    </row>
    <row r="698" spans="1:7" x14ac:dyDescent="0.2">
      <c r="A698" s="40">
        <v>3633</v>
      </c>
      <c r="B698" s="39" t="s">
        <v>545</v>
      </c>
      <c r="C698" s="40" t="s">
        <v>1281</v>
      </c>
      <c r="D698" s="74" t="s">
        <v>1269</v>
      </c>
      <c r="E698" s="74" t="s">
        <v>1266</v>
      </c>
      <c r="F698" s="74" t="s">
        <v>1268</v>
      </c>
      <c r="G698" s="74" t="s">
        <v>1267</v>
      </c>
    </row>
    <row r="699" spans="1:7" x14ac:dyDescent="0.2">
      <c r="A699" s="40">
        <v>3641</v>
      </c>
      <c r="B699" s="39" t="s">
        <v>546</v>
      </c>
      <c r="C699" s="40" t="s">
        <v>1281</v>
      </c>
      <c r="D699" s="74" t="s">
        <v>1269</v>
      </c>
      <c r="E699" s="74" t="s">
        <v>1266</v>
      </c>
      <c r="F699" s="74" t="s">
        <v>1268</v>
      </c>
      <c r="G699" s="74" t="s">
        <v>1267</v>
      </c>
    </row>
    <row r="700" spans="1:7" x14ac:dyDescent="0.2">
      <c r="A700" s="40">
        <v>3642</v>
      </c>
      <c r="B700" s="39" t="s">
        <v>547</v>
      </c>
      <c r="C700" s="40" t="s">
        <v>1281</v>
      </c>
      <c r="D700" s="74" t="s">
        <v>1269</v>
      </c>
      <c r="E700" s="74" t="s">
        <v>1266</v>
      </c>
      <c r="F700" s="74" t="s">
        <v>1268</v>
      </c>
      <c r="G700" s="74" t="s">
        <v>1267</v>
      </c>
    </row>
    <row r="701" spans="1:7" x14ac:dyDescent="0.2">
      <c r="A701" s="40">
        <v>3643</v>
      </c>
      <c r="B701" s="39" t="s">
        <v>548</v>
      </c>
      <c r="C701" s="40" t="s">
        <v>1281</v>
      </c>
      <c r="D701" s="74" t="s">
        <v>1269</v>
      </c>
      <c r="E701" s="74" t="s">
        <v>1266</v>
      </c>
      <c r="F701" s="74" t="s">
        <v>1268</v>
      </c>
      <c r="G701" s="74" t="s">
        <v>1268</v>
      </c>
    </row>
    <row r="702" spans="1:7" x14ac:dyDescent="0.2">
      <c r="A702" s="40">
        <v>3644</v>
      </c>
      <c r="B702" s="39" t="s">
        <v>549</v>
      </c>
      <c r="C702" s="40" t="s">
        <v>1281</v>
      </c>
      <c r="D702" s="74" t="s">
        <v>1269</v>
      </c>
      <c r="E702" s="74" t="s">
        <v>1266</v>
      </c>
      <c r="F702" s="74" t="s">
        <v>1268</v>
      </c>
      <c r="G702" s="74" t="s">
        <v>1267</v>
      </c>
    </row>
    <row r="703" spans="1:7" x14ac:dyDescent="0.2">
      <c r="A703" s="40">
        <v>3650</v>
      </c>
      <c r="B703" s="39" t="s">
        <v>550</v>
      </c>
      <c r="C703" s="40" t="s">
        <v>1281</v>
      </c>
      <c r="D703" s="74" t="s">
        <v>1269</v>
      </c>
      <c r="E703" s="74" t="s">
        <v>1266</v>
      </c>
      <c r="F703" s="74" t="s">
        <v>1268</v>
      </c>
      <c r="G703" s="74" t="s">
        <v>1268</v>
      </c>
    </row>
    <row r="704" spans="1:7" x14ac:dyDescent="0.2">
      <c r="A704" s="40">
        <v>3652</v>
      </c>
      <c r="B704" s="39" t="s">
        <v>551</v>
      </c>
      <c r="C704" s="40" t="s">
        <v>1281</v>
      </c>
      <c r="D704" s="74" t="s">
        <v>1269</v>
      </c>
      <c r="E704" s="74" t="s">
        <v>1266</v>
      </c>
      <c r="F704" s="74" t="s">
        <v>1268</v>
      </c>
      <c r="G704" s="74" t="s">
        <v>1267</v>
      </c>
    </row>
    <row r="705" spans="1:7" x14ac:dyDescent="0.2">
      <c r="A705" s="40">
        <v>3653</v>
      </c>
      <c r="B705" s="39" t="s">
        <v>552</v>
      </c>
      <c r="C705" s="40" t="s">
        <v>1281</v>
      </c>
      <c r="D705" s="74" t="s">
        <v>1269</v>
      </c>
      <c r="E705" s="74" t="s">
        <v>1266</v>
      </c>
      <c r="F705" s="74" t="s">
        <v>1268</v>
      </c>
      <c r="G705" s="74" t="s">
        <v>1268</v>
      </c>
    </row>
    <row r="706" spans="1:7" x14ac:dyDescent="0.2">
      <c r="A706" s="40">
        <v>3654</v>
      </c>
      <c r="B706" s="39" t="s">
        <v>553</v>
      </c>
      <c r="C706" s="40" t="s">
        <v>1281</v>
      </c>
      <c r="D706" s="74" t="s">
        <v>1269</v>
      </c>
      <c r="E706" s="74" t="s">
        <v>1266</v>
      </c>
      <c r="F706" s="74" t="s">
        <v>1268</v>
      </c>
      <c r="G706" s="74" t="s">
        <v>1268</v>
      </c>
    </row>
    <row r="707" spans="1:7" x14ac:dyDescent="0.2">
      <c r="A707" s="40">
        <v>3660</v>
      </c>
      <c r="B707" s="39" t="s">
        <v>554</v>
      </c>
      <c r="C707" s="40" t="s">
        <v>1281</v>
      </c>
      <c r="D707" s="74" t="s">
        <v>1269</v>
      </c>
      <c r="E707" s="74" t="s">
        <v>1266</v>
      </c>
      <c r="F707" s="74" t="s">
        <v>1268</v>
      </c>
      <c r="G707" s="74" t="s">
        <v>1267</v>
      </c>
    </row>
    <row r="708" spans="1:7" x14ac:dyDescent="0.2">
      <c r="A708" s="40">
        <v>3661</v>
      </c>
      <c r="B708" s="39" t="s">
        <v>555</v>
      </c>
      <c r="C708" s="40" t="s">
        <v>1281</v>
      </c>
      <c r="D708" s="74" t="s">
        <v>1269</v>
      </c>
      <c r="E708" s="74" t="s">
        <v>1266</v>
      </c>
      <c r="F708" s="74" t="s">
        <v>1268</v>
      </c>
      <c r="G708" s="74" t="s">
        <v>1268</v>
      </c>
    </row>
    <row r="709" spans="1:7" x14ac:dyDescent="0.2">
      <c r="A709" s="40">
        <v>3662</v>
      </c>
      <c r="B709" s="39" t="s">
        <v>556</v>
      </c>
      <c r="C709" s="40" t="s">
        <v>1281</v>
      </c>
      <c r="D709" s="74" t="s">
        <v>1269</v>
      </c>
      <c r="E709" s="74" t="s">
        <v>1266</v>
      </c>
      <c r="F709" s="74" t="s">
        <v>1268</v>
      </c>
      <c r="G709" s="74" t="s">
        <v>1267</v>
      </c>
    </row>
    <row r="710" spans="1:7" x14ac:dyDescent="0.2">
      <c r="A710" s="40">
        <v>3663</v>
      </c>
      <c r="B710" s="39" t="s">
        <v>557</v>
      </c>
      <c r="C710" s="40" t="s">
        <v>1281</v>
      </c>
      <c r="D710" s="74" t="s">
        <v>1269</v>
      </c>
      <c r="E710" s="74" t="s">
        <v>1266</v>
      </c>
      <c r="F710" s="74" t="s">
        <v>1268</v>
      </c>
      <c r="G710" s="74" t="s">
        <v>1267</v>
      </c>
    </row>
    <row r="711" spans="1:7" x14ac:dyDescent="0.2">
      <c r="A711" s="40">
        <v>3664</v>
      </c>
      <c r="B711" s="39" t="s">
        <v>558</v>
      </c>
      <c r="C711" s="40" t="s">
        <v>1281</v>
      </c>
      <c r="D711" s="74" t="s">
        <v>1269</v>
      </c>
      <c r="E711" s="74" t="s">
        <v>1266</v>
      </c>
      <c r="F711" s="74" t="s">
        <v>1268</v>
      </c>
      <c r="G711" s="74" t="s">
        <v>1268</v>
      </c>
    </row>
    <row r="712" spans="1:7" x14ac:dyDescent="0.2">
      <c r="A712" s="40">
        <v>3665</v>
      </c>
      <c r="B712" s="39" t="s">
        <v>559</v>
      </c>
      <c r="C712" s="40" t="s">
        <v>1281</v>
      </c>
      <c r="D712" s="74" t="s">
        <v>1269</v>
      </c>
      <c r="E712" s="74" t="s">
        <v>1266</v>
      </c>
      <c r="F712" s="74" t="s">
        <v>1268</v>
      </c>
      <c r="G712" s="74" t="s">
        <v>1267</v>
      </c>
    </row>
    <row r="713" spans="1:7" x14ac:dyDescent="0.2">
      <c r="A713" s="40">
        <v>3671</v>
      </c>
      <c r="B713" s="39" t="s">
        <v>560</v>
      </c>
      <c r="C713" s="40" t="s">
        <v>1281</v>
      </c>
      <c r="D713" s="74" t="s">
        <v>1269</v>
      </c>
      <c r="E713" s="74" t="s">
        <v>1266</v>
      </c>
      <c r="F713" s="74" t="s">
        <v>1268</v>
      </c>
      <c r="G713" s="74" t="s">
        <v>1268</v>
      </c>
    </row>
    <row r="714" spans="1:7" x14ac:dyDescent="0.2">
      <c r="A714" s="40">
        <v>3672</v>
      </c>
      <c r="B714" s="39" t="s">
        <v>561</v>
      </c>
      <c r="C714" s="40" t="s">
        <v>1281</v>
      </c>
      <c r="D714" s="74" t="s">
        <v>1269</v>
      </c>
      <c r="E714" s="74" t="s">
        <v>1266</v>
      </c>
      <c r="F714" s="74" t="s">
        <v>1268</v>
      </c>
      <c r="G714" s="74" t="s">
        <v>1268</v>
      </c>
    </row>
    <row r="715" spans="1:7" x14ac:dyDescent="0.2">
      <c r="A715" s="40">
        <v>3680</v>
      </c>
      <c r="B715" s="39" t="s">
        <v>562</v>
      </c>
      <c r="C715" s="40" t="s">
        <v>1281</v>
      </c>
      <c r="D715" s="74" t="s">
        <v>1269</v>
      </c>
      <c r="E715" s="74" t="s">
        <v>1266</v>
      </c>
      <c r="F715" s="74" t="s">
        <v>1268</v>
      </c>
      <c r="G715" s="74" t="s">
        <v>1268</v>
      </c>
    </row>
    <row r="716" spans="1:7" x14ac:dyDescent="0.2">
      <c r="A716" s="40">
        <v>3683</v>
      </c>
      <c r="B716" s="39" t="s">
        <v>563</v>
      </c>
      <c r="C716" s="40" t="s">
        <v>1281</v>
      </c>
      <c r="D716" s="74" t="s">
        <v>1269</v>
      </c>
      <c r="E716" s="74" t="s">
        <v>1266</v>
      </c>
      <c r="F716" s="74" t="s">
        <v>1268</v>
      </c>
      <c r="G716" s="74" t="s">
        <v>1268</v>
      </c>
    </row>
    <row r="717" spans="1:7" x14ac:dyDescent="0.2">
      <c r="A717" s="40">
        <v>3684</v>
      </c>
      <c r="B717" s="39" t="s">
        <v>564</v>
      </c>
      <c r="C717" s="40" t="s">
        <v>1281</v>
      </c>
      <c r="D717" s="74" t="s">
        <v>1269</v>
      </c>
      <c r="E717" s="74" t="s">
        <v>1266</v>
      </c>
      <c r="F717" s="74" t="s">
        <v>1268</v>
      </c>
      <c r="G717" s="74" t="s">
        <v>1267</v>
      </c>
    </row>
    <row r="718" spans="1:7" x14ac:dyDescent="0.2">
      <c r="A718" s="40">
        <v>3691</v>
      </c>
      <c r="B718" s="39" t="s">
        <v>565</v>
      </c>
      <c r="C718" s="40" t="s">
        <v>1281</v>
      </c>
      <c r="D718" s="74" t="s">
        <v>1269</v>
      </c>
      <c r="E718" s="74" t="s">
        <v>1266</v>
      </c>
      <c r="F718" s="74" t="s">
        <v>1268</v>
      </c>
      <c r="G718" s="74" t="s">
        <v>1267</v>
      </c>
    </row>
    <row r="719" spans="1:7" x14ac:dyDescent="0.2">
      <c r="A719" s="40">
        <v>3701</v>
      </c>
      <c r="B719" s="39" t="s">
        <v>566</v>
      </c>
      <c r="C719" s="40" t="s">
        <v>1281</v>
      </c>
      <c r="D719" s="74" t="s">
        <v>1269</v>
      </c>
      <c r="E719" s="74" t="s">
        <v>1266</v>
      </c>
      <c r="F719" s="74" t="s">
        <v>1268</v>
      </c>
      <c r="G719" s="74" t="s">
        <v>1268</v>
      </c>
    </row>
    <row r="720" spans="1:7" x14ac:dyDescent="0.2">
      <c r="A720" s="40">
        <v>3702</v>
      </c>
      <c r="B720" s="39" t="s">
        <v>567</v>
      </c>
      <c r="C720" s="40" t="s">
        <v>1281</v>
      </c>
      <c r="D720" s="74" t="s">
        <v>1269</v>
      </c>
      <c r="E720" s="74" t="s">
        <v>1266</v>
      </c>
      <c r="F720" s="74" t="s">
        <v>1268</v>
      </c>
      <c r="G720" s="74" t="s">
        <v>1267</v>
      </c>
    </row>
    <row r="721" spans="1:7" x14ac:dyDescent="0.2">
      <c r="A721" s="40">
        <v>3704</v>
      </c>
      <c r="B721" s="39" t="s">
        <v>568</v>
      </c>
      <c r="C721" s="40" t="s">
        <v>1281</v>
      </c>
      <c r="D721" s="74" t="s">
        <v>1269</v>
      </c>
      <c r="E721" s="74" t="s">
        <v>1266</v>
      </c>
      <c r="F721" s="74" t="s">
        <v>1268</v>
      </c>
      <c r="G721" s="74" t="s">
        <v>1267</v>
      </c>
    </row>
    <row r="722" spans="1:7" x14ac:dyDescent="0.2">
      <c r="A722" s="40">
        <v>3710</v>
      </c>
      <c r="B722" s="39" t="s">
        <v>569</v>
      </c>
      <c r="C722" s="40" t="s">
        <v>1281</v>
      </c>
      <c r="D722" s="74" t="s">
        <v>1269</v>
      </c>
      <c r="E722" s="74" t="s">
        <v>1266</v>
      </c>
      <c r="F722" s="74" t="s">
        <v>1268</v>
      </c>
      <c r="G722" s="74" t="s">
        <v>1268</v>
      </c>
    </row>
    <row r="723" spans="1:7" x14ac:dyDescent="0.2">
      <c r="A723" s="40">
        <v>3711</v>
      </c>
      <c r="B723" s="39" t="s">
        <v>570</v>
      </c>
      <c r="C723" s="40" t="s">
        <v>1281</v>
      </c>
      <c r="D723" s="74" t="s">
        <v>1269</v>
      </c>
      <c r="E723" s="74" t="s">
        <v>1266</v>
      </c>
      <c r="F723" s="74" t="s">
        <v>1268</v>
      </c>
      <c r="G723" s="74" t="s">
        <v>1267</v>
      </c>
    </row>
    <row r="724" spans="1:7" x14ac:dyDescent="0.2">
      <c r="A724" s="40">
        <v>3712</v>
      </c>
      <c r="B724" s="39" t="s">
        <v>571</v>
      </c>
      <c r="C724" s="40" t="s">
        <v>1281</v>
      </c>
      <c r="D724" s="74" t="s">
        <v>1269</v>
      </c>
      <c r="E724" s="74" t="s">
        <v>1266</v>
      </c>
      <c r="F724" s="74" t="s">
        <v>1268</v>
      </c>
      <c r="G724" s="74" t="s">
        <v>1268</v>
      </c>
    </row>
    <row r="725" spans="1:7" x14ac:dyDescent="0.2">
      <c r="A725" s="40">
        <v>3713</v>
      </c>
      <c r="B725" s="39" t="s">
        <v>572</v>
      </c>
      <c r="C725" s="40" t="s">
        <v>1281</v>
      </c>
      <c r="D725" s="74" t="s">
        <v>1269</v>
      </c>
      <c r="E725" s="74" t="s">
        <v>1266</v>
      </c>
      <c r="F725" s="74" t="s">
        <v>1268</v>
      </c>
      <c r="G725" s="74" t="s">
        <v>1267</v>
      </c>
    </row>
    <row r="726" spans="1:7" x14ac:dyDescent="0.2">
      <c r="A726" s="40">
        <v>3714</v>
      </c>
      <c r="B726" s="39" t="s">
        <v>573</v>
      </c>
      <c r="C726" s="40" t="s">
        <v>1281</v>
      </c>
      <c r="D726" s="74" t="s">
        <v>1269</v>
      </c>
      <c r="E726" s="74" t="s">
        <v>1266</v>
      </c>
      <c r="F726" s="74" t="s">
        <v>1268</v>
      </c>
      <c r="G726" s="74" t="s">
        <v>1267</v>
      </c>
    </row>
    <row r="727" spans="1:7" x14ac:dyDescent="0.2">
      <c r="A727" s="40">
        <v>3720</v>
      </c>
      <c r="B727" s="39" t="s">
        <v>574</v>
      </c>
      <c r="C727" s="40" t="s">
        <v>1281</v>
      </c>
      <c r="D727" s="74" t="s">
        <v>1269</v>
      </c>
      <c r="E727" s="74" t="s">
        <v>1266</v>
      </c>
      <c r="F727" s="74" t="s">
        <v>1268</v>
      </c>
      <c r="G727" s="74" t="s">
        <v>1267</v>
      </c>
    </row>
    <row r="728" spans="1:7" x14ac:dyDescent="0.2">
      <c r="A728" s="40">
        <v>3721</v>
      </c>
      <c r="B728" s="39" t="s">
        <v>575</v>
      </c>
      <c r="C728" s="40" t="s">
        <v>1281</v>
      </c>
      <c r="D728" s="74" t="s">
        <v>1269</v>
      </c>
      <c r="E728" s="74" t="s">
        <v>1266</v>
      </c>
      <c r="F728" s="74" t="s">
        <v>1268</v>
      </c>
      <c r="G728" s="74" t="s">
        <v>1267</v>
      </c>
    </row>
    <row r="729" spans="1:7" x14ac:dyDescent="0.2">
      <c r="A729" s="40">
        <v>3722</v>
      </c>
      <c r="B729" s="39" t="s">
        <v>576</v>
      </c>
      <c r="C729" s="40" t="s">
        <v>1281</v>
      </c>
      <c r="D729" s="74" t="s">
        <v>1269</v>
      </c>
      <c r="E729" s="74" t="s">
        <v>1266</v>
      </c>
      <c r="F729" s="74" t="s">
        <v>1268</v>
      </c>
      <c r="G729" s="74" t="s">
        <v>1267</v>
      </c>
    </row>
    <row r="730" spans="1:7" x14ac:dyDescent="0.2">
      <c r="A730" s="40">
        <v>3730</v>
      </c>
      <c r="B730" s="39" t="s">
        <v>577</v>
      </c>
      <c r="C730" s="40" t="s">
        <v>1281</v>
      </c>
      <c r="D730" s="74" t="s">
        <v>1269</v>
      </c>
      <c r="E730" s="74" t="s">
        <v>1266</v>
      </c>
      <c r="F730" s="74" t="s">
        <v>1268</v>
      </c>
      <c r="G730" s="74" t="s">
        <v>1268</v>
      </c>
    </row>
    <row r="731" spans="1:7" x14ac:dyDescent="0.2">
      <c r="A731" s="40">
        <v>3741</v>
      </c>
      <c r="B731" s="39" t="s">
        <v>578</v>
      </c>
      <c r="C731" s="40" t="s">
        <v>1281</v>
      </c>
      <c r="D731" s="74" t="s">
        <v>1269</v>
      </c>
      <c r="E731" s="74" t="s">
        <v>1266</v>
      </c>
      <c r="F731" s="74" t="s">
        <v>1268</v>
      </c>
      <c r="G731" s="74" t="s">
        <v>1268</v>
      </c>
    </row>
    <row r="732" spans="1:7" x14ac:dyDescent="0.2">
      <c r="A732" s="40">
        <v>3742</v>
      </c>
      <c r="B732" s="39" t="s">
        <v>579</v>
      </c>
      <c r="C732" s="40" t="s">
        <v>1281</v>
      </c>
      <c r="D732" s="74" t="s">
        <v>1269</v>
      </c>
      <c r="E732" s="74" t="s">
        <v>1266</v>
      </c>
      <c r="F732" s="74" t="s">
        <v>1268</v>
      </c>
      <c r="G732" s="74" t="s">
        <v>1267</v>
      </c>
    </row>
    <row r="733" spans="1:7" x14ac:dyDescent="0.2">
      <c r="A733" s="40">
        <v>3743</v>
      </c>
      <c r="B733" s="39" t="s">
        <v>580</v>
      </c>
      <c r="C733" s="40" t="s">
        <v>1281</v>
      </c>
      <c r="D733" s="74" t="s">
        <v>1269</v>
      </c>
      <c r="E733" s="74" t="s">
        <v>1266</v>
      </c>
      <c r="F733" s="74" t="s">
        <v>1268</v>
      </c>
      <c r="G733" s="74" t="s">
        <v>1267</v>
      </c>
    </row>
    <row r="734" spans="1:7" x14ac:dyDescent="0.2">
      <c r="A734" s="40">
        <v>3744</v>
      </c>
      <c r="B734" s="39" t="s">
        <v>581</v>
      </c>
      <c r="C734" s="40" t="s">
        <v>1281</v>
      </c>
      <c r="D734" s="74" t="s">
        <v>1269</v>
      </c>
      <c r="E734" s="74" t="s">
        <v>1266</v>
      </c>
      <c r="F734" s="74" t="s">
        <v>1268</v>
      </c>
      <c r="G734" s="74" t="s">
        <v>1267</v>
      </c>
    </row>
    <row r="735" spans="1:7" x14ac:dyDescent="0.2">
      <c r="A735" s="40">
        <v>3751</v>
      </c>
      <c r="B735" s="39" t="s">
        <v>582</v>
      </c>
      <c r="C735" s="40" t="s">
        <v>1281</v>
      </c>
      <c r="D735" s="74" t="s">
        <v>1269</v>
      </c>
      <c r="E735" s="74" t="s">
        <v>1266</v>
      </c>
      <c r="F735" s="74" t="s">
        <v>1268</v>
      </c>
      <c r="G735" s="74" t="s">
        <v>1268</v>
      </c>
    </row>
    <row r="736" spans="1:7" x14ac:dyDescent="0.2">
      <c r="A736" s="40">
        <v>3752</v>
      </c>
      <c r="B736" s="39" t="s">
        <v>583</v>
      </c>
      <c r="C736" s="40" t="s">
        <v>1281</v>
      </c>
      <c r="D736" s="74" t="s">
        <v>1269</v>
      </c>
      <c r="E736" s="74" t="s">
        <v>1266</v>
      </c>
      <c r="F736" s="74" t="s">
        <v>1268</v>
      </c>
      <c r="G736" s="74" t="s">
        <v>1267</v>
      </c>
    </row>
    <row r="737" spans="1:7" x14ac:dyDescent="0.2">
      <c r="A737" s="40">
        <v>3753</v>
      </c>
      <c r="B737" s="39" t="s">
        <v>584</v>
      </c>
      <c r="C737" s="40" t="s">
        <v>1281</v>
      </c>
      <c r="D737" s="74" t="s">
        <v>1269</v>
      </c>
      <c r="E737" s="74" t="s">
        <v>1266</v>
      </c>
      <c r="F737" s="74" t="s">
        <v>1268</v>
      </c>
      <c r="G737" s="74" t="s">
        <v>1267</v>
      </c>
    </row>
    <row r="738" spans="1:7" x14ac:dyDescent="0.2">
      <c r="A738" s="40">
        <v>3754</v>
      </c>
      <c r="B738" s="39" t="s">
        <v>585</v>
      </c>
      <c r="C738" s="40" t="s">
        <v>1281</v>
      </c>
      <c r="D738" s="74" t="s">
        <v>1269</v>
      </c>
      <c r="E738" s="74" t="s">
        <v>1266</v>
      </c>
      <c r="F738" s="74" t="s">
        <v>1268</v>
      </c>
      <c r="G738" s="74" t="s">
        <v>1267</v>
      </c>
    </row>
    <row r="739" spans="1:7" x14ac:dyDescent="0.2">
      <c r="A739" s="40">
        <v>3761</v>
      </c>
      <c r="B739" s="39" t="s">
        <v>586</v>
      </c>
      <c r="C739" s="40" t="s">
        <v>1281</v>
      </c>
      <c r="D739" s="74" t="s">
        <v>1269</v>
      </c>
      <c r="E739" s="74" t="s">
        <v>1266</v>
      </c>
      <c r="F739" s="74" t="s">
        <v>1268</v>
      </c>
      <c r="G739" s="74" t="s">
        <v>1267</v>
      </c>
    </row>
    <row r="740" spans="1:7" x14ac:dyDescent="0.2">
      <c r="A740" s="40">
        <v>3762</v>
      </c>
      <c r="B740" s="39" t="s">
        <v>587</v>
      </c>
      <c r="C740" s="40" t="s">
        <v>1281</v>
      </c>
      <c r="D740" s="74" t="s">
        <v>1269</v>
      </c>
      <c r="E740" s="74" t="s">
        <v>1266</v>
      </c>
      <c r="F740" s="74" t="s">
        <v>1268</v>
      </c>
      <c r="G740" s="74" t="s">
        <v>1267</v>
      </c>
    </row>
    <row r="741" spans="1:7" x14ac:dyDescent="0.2">
      <c r="A741" s="40">
        <v>3763</v>
      </c>
      <c r="B741" s="39" t="s">
        <v>588</v>
      </c>
      <c r="C741" s="40" t="s">
        <v>1281</v>
      </c>
      <c r="D741" s="74" t="s">
        <v>1269</v>
      </c>
      <c r="E741" s="74" t="s">
        <v>1266</v>
      </c>
      <c r="F741" s="74" t="s">
        <v>1268</v>
      </c>
      <c r="G741" s="74" t="s">
        <v>1268</v>
      </c>
    </row>
    <row r="742" spans="1:7" x14ac:dyDescent="0.2">
      <c r="A742" s="40">
        <v>3800</v>
      </c>
      <c r="B742" s="39" t="s">
        <v>589</v>
      </c>
      <c r="C742" s="40" t="s">
        <v>1281</v>
      </c>
      <c r="D742" s="74" t="s">
        <v>1269</v>
      </c>
      <c r="E742" s="74" t="s">
        <v>1266</v>
      </c>
      <c r="F742" s="74" t="s">
        <v>1268</v>
      </c>
      <c r="G742" s="74" t="s">
        <v>1267</v>
      </c>
    </row>
    <row r="743" spans="1:7" x14ac:dyDescent="0.2">
      <c r="A743" s="40">
        <v>3804</v>
      </c>
      <c r="B743" s="39" t="s">
        <v>590</v>
      </c>
      <c r="C743" s="40" t="s">
        <v>1281</v>
      </c>
      <c r="D743" s="74" t="s">
        <v>1269</v>
      </c>
      <c r="E743" s="74" t="s">
        <v>1266</v>
      </c>
      <c r="F743" s="74" t="s">
        <v>1268</v>
      </c>
      <c r="G743" s="74" t="s">
        <v>1268</v>
      </c>
    </row>
    <row r="744" spans="1:7" x14ac:dyDescent="0.2">
      <c r="A744" s="40">
        <v>3811</v>
      </c>
      <c r="B744" s="39" t="s">
        <v>591</v>
      </c>
      <c r="C744" s="40" t="s">
        <v>1281</v>
      </c>
      <c r="D744" s="74" t="s">
        <v>1269</v>
      </c>
      <c r="E744" s="74" t="s">
        <v>1266</v>
      </c>
      <c r="F744" s="74" t="s">
        <v>1268</v>
      </c>
      <c r="G744" s="74" t="s">
        <v>1267</v>
      </c>
    </row>
    <row r="745" spans="1:7" x14ac:dyDescent="0.2">
      <c r="A745" s="40">
        <v>3812</v>
      </c>
      <c r="B745" s="39" t="s">
        <v>592</v>
      </c>
      <c r="C745" s="40" t="s">
        <v>1281</v>
      </c>
      <c r="D745" s="74" t="s">
        <v>1269</v>
      </c>
      <c r="E745" s="74" t="s">
        <v>1266</v>
      </c>
      <c r="F745" s="74" t="s">
        <v>1268</v>
      </c>
      <c r="G745" s="74" t="s">
        <v>1268</v>
      </c>
    </row>
    <row r="746" spans="1:7" x14ac:dyDescent="0.2">
      <c r="A746" s="40">
        <v>3813</v>
      </c>
      <c r="B746" s="39" t="s">
        <v>593</v>
      </c>
      <c r="C746" s="40" t="s">
        <v>1281</v>
      </c>
      <c r="D746" s="74" t="s">
        <v>1269</v>
      </c>
      <c r="E746" s="74" t="s">
        <v>1266</v>
      </c>
      <c r="F746" s="74" t="s">
        <v>1268</v>
      </c>
      <c r="G746" s="74" t="s">
        <v>1267</v>
      </c>
    </row>
    <row r="747" spans="1:7" x14ac:dyDescent="0.2">
      <c r="A747" s="40">
        <v>3814</v>
      </c>
      <c r="B747" s="39" t="s">
        <v>594</v>
      </c>
      <c r="C747" s="40" t="s">
        <v>1281</v>
      </c>
      <c r="D747" s="74" t="s">
        <v>1269</v>
      </c>
      <c r="E747" s="74" t="s">
        <v>1266</v>
      </c>
      <c r="F747" s="74" t="s">
        <v>1268</v>
      </c>
      <c r="G747" s="74" t="s">
        <v>1267</v>
      </c>
    </row>
    <row r="748" spans="1:7" x14ac:dyDescent="0.2">
      <c r="A748" s="40">
        <v>3820</v>
      </c>
      <c r="B748" s="39" t="s">
        <v>595</v>
      </c>
      <c r="C748" s="40" t="s">
        <v>1281</v>
      </c>
      <c r="D748" s="74" t="s">
        <v>1269</v>
      </c>
      <c r="E748" s="74" t="s">
        <v>1266</v>
      </c>
      <c r="F748" s="74" t="s">
        <v>1268</v>
      </c>
      <c r="G748" s="74" t="s">
        <v>1268</v>
      </c>
    </row>
    <row r="749" spans="1:7" x14ac:dyDescent="0.2">
      <c r="A749" s="40">
        <v>3822</v>
      </c>
      <c r="B749" s="39" t="s">
        <v>596</v>
      </c>
      <c r="C749" s="40" t="s">
        <v>1281</v>
      </c>
      <c r="D749" s="74" t="s">
        <v>1269</v>
      </c>
      <c r="E749" s="74" t="s">
        <v>1266</v>
      </c>
      <c r="F749" s="74" t="s">
        <v>1268</v>
      </c>
      <c r="G749" s="74" t="s">
        <v>1267</v>
      </c>
    </row>
    <row r="750" spans="1:7" x14ac:dyDescent="0.2">
      <c r="A750" s="40">
        <v>3823</v>
      </c>
      <c r="B750" s="39" t="s">
        <v>597</v>
      </c>
      <c r="C750" s="40" t="s">
        <v>1281</v>
      </c>
      <c r="D750" s="74" t="s">
        <v>1269</v>
      </c>
      <c r="E750" s="74" t="s">
        <v>1266</v>
      </c>
      <c r="F750" s="74" t="s">
        <v>1268</v>
      </c>
      <c r="G750" s="74" t="s">
        <v>1267</v>
      </c>
    </row>
    <row r="751" spans="1:7" x14ac:dyDescent="0.2">
      <c r="A751" s="40">
        <v>3824</v>
      </c>
      <c r="B751" s="39" t="s">
        <v>598</v>
      </c>
      <c r="C751" s="40" t="s">
        <v>1281</v>
      </c>
      <c r="D751" s="74" t="s">
        <v>1269</v>
      </c>
      <c r="E751" s="74" t="s">
        <v>1266</v>
      </c>
      <c r="F751" s="74" t="s">
        <v>1268</v>
      </c>
      <c r="G751" s="74" t="s">
        <v>1267</v>
      </c>
    </row>
    <row r="752" spans="1:7" x14ac:dyDescent="0.2">
      <c r="A752" s="40">
        <v>3830</v>
      </c>
      <c r="B752" s="39" t="s">
        <v>599</v>
      </c>
      <c r="C752" s="40" t="s">
        <v>1281</v>
      </c>
      <c r="D752" s="74" t="s">
        <v>1269</v>
      </c>
      <c r="E752" s="74" t="s">
        <v>1266</v>
      </c>
      <c r="F752" s="74" t="s">
        <v>1268</v>
      </c>
      <c r="G752" s="74" t="s">
        <v>1268</v>
      </c>
    </row>
    <row r="753" spans="1:7" x14ac:dyDescent="0.2">
      <c r="A753" s="40">
        <v>3834</v>
      </c>
      <c r="B753" s="39" t="s">
        <v>600</v>
      </c>
      <c r="C753" s="40" t="s">
        <v>1281</v>
      </c>
      <c r="D753" s="74" t="s">
        <v>1269</v>
      </c>
      <c r="E753" s="74" t="s">
        <v>1266</v>
      </c>
      <c r="F753" s="74" t="s">
        <v>1268</v>
      </c>
      <c r="G753" s="74" t="s">
        <v>1267</v>
      </c>
    </row>
    <row r="754" spans="1:7" x14ac:dyDescent="0.2">
      <c r="A754" s="40">
        <v>3841</v>
      </c>
      <c r="B754" s="39" t="s">
        <v>601</v>
      </c>
      <c r="C754" s="40" t="s">
        <v>1281</v>
      </c>
      <c r="D754" s="74" t="s">
        <v>1269</v>
      </c>
      <c r="E754" s="74" t="s">
        <v>1266</v>
      </c>
      <c r="F754" s="74" t="s">
        <v>1268</v>
      </c>
      <c r="G754" s="74" t="s">
        <v>1267</v>
      </c>
    </row>
    <row r="755" spans="1:7" x14ac:dyDescent="0.2">
      <c r="A755" s="40">
        <v>3842</v>
      </c>
      <c r="B755" s="39" t="s">
        <v>602</v>
      </c>
      <c r="C755" s="40" t="s">
        <v>1281</v>
      </c>
      <c r="D755" s="74" t="s">
        <v>1269</v>
      </c>
      <c r="E755" s="74" t="s">
        <v>1266</v>
      </c>
      <c r="F755" s="74" t="s">
        <v>1268</v>
      </c>
      <c r="G755" s="74" t="s">
        <v>1267</v>
      </c>
    </row>
    <row r="756" spans="1:7" x14ac:dyDescent="0.2">
      <c r="A756" s="40">
        <v>3843</v>
      </c>
      <c r="B756" s="39" t="s">
        <v>603</v>
      </c>
      <c r="C756" s="40" t="s">
        <v>1281</v>
      </c>
      <c r="D756" s="74" t="s">
        <v>1269</v>
      </c>
      <c r="E756" s="74" t="s">
        <v>1266</v>
      </c>
      <c r="F756" s="74" t="s">
        <v>1268</v>
      </c>
      <c r="G756" s="74" t="s">
        <v>1268</v>
      </c>
    </row>
    <row r="757" spans="1:7" x14ac:dyDescent="0.2">
      <c r="A757" s="40">
        <v>3844</v>
      </c>
      <c r="B757" s="39" t="s">
        <v>604</v>
      </c>
      <c r="C757" s="40" t="s">
        <v>1281</v>
      </c>
      <c r="D757" s="74" t="s">
        <v>1269</v>
      </c>
      <c r="E757" s="74" t="s">
        <v>1266</v>
      </c>
      <c r="F757" s="74" t="s">
        <v>1268</v>
      </c>
      <c r="G757" s="74" t="s">
        <v>1267</v>
      </c>
    </row>
    <row r="758" spans="1:7" x14ac:dyDescent="0.2">
      <c r="A758" s="40">
        <v>3851</v>
      </c>
      <c r="B758" s="39" t="s">
        <v>609</v>
      </c>
      <c r="C758" s="40" t="s">
        <v>1281</v>
      </c>
      <c r="D758" s="74" t="s">
        <v>1269</v>
      </c>
      <c r="E758" s="74" t="s">
        <v>1266</v>
      </c>
      <c r="F758" s="74" t="s">
        <v>1268</v>
      </c>
      <c r="G758" s="74" t="s">
        <v>1267</v>
      </c>
    </row>
    <row r="759" spans="1:7" x14ac:dyDescent="0.2">
      <c r="A759" s="40">
        <v>3852</v>
      </c>
      <c r="B759" s="39" t="s">
        <v>610</v>
      </c>
      <c r="C759" s="40" t="s">
        <v>1281</v>
      </c>
      <c r="D759" s="74" t="s">
        <v>1269</v>
      </c>
      <c r="E759" s="74" t="s">
        <v>1266</v>
      </c>
      <c r="F759" s="74" t="s">
        <v>1268</v>
      </c>
      <c r="G759" s="74" t="s">
        <v>1268</v>
      </c>
    </row>
    <row r="760" spans="1:7" x14ac:dyDescent="0.2">
      <c r="A760" s="40">
        <v>3860</v>
      </c>
      <c r="B760" s="39" t="s">
        <v>611</v>
      </c>
      <c r="C760" s="40" t="s">
        <v>1281</v>
      </c>
      <c r="D760" s="74" t="s">
        <v>1269</v>
      </c>
      <c r="E760" s="74" t="s">
        <v>1266</v>
      </c>
      <c r="F760" s="74" t="s">
        <v>1268</v>
      </c>
      <c r="G760" s="74" t="s">
        <v>1268</v>
      </c>
    </row>
    <row r="761" spans="1:7" x14ac:dyDescent="0.2">
      <c r="A761" s="40">
        <v>3861</v>
      </c>
      <c r="B761" s="39" t="s">
        <v>612</v>
      </c>
      <c r="C761" s="40" t="s">
        <v>1281</v>
      </c>
      <c r="D761" s="74" t="s">
        <v>1269</v>
      </c>
      <c r="E761" s="74" t="s">
        <v>1266</v>
      </c>
      <c r="F761" s="74" t="s">
        <v>1268</v>
      </c>
      <c r="G761" s="74" t="s">
        <v>1267</v>
      </c>
    </row>
    <row r="762" spans="1:7" x14ac:dyDescent="0.2">
      <c r="A762" s="40">
        <v>3862</v>
      </c>
      <c r="B762" s="39" t="s">
        <v>613</v>
      </c>
      <c r="C762" s="40" t="s">
        <v>1281</v>
      </c>
      <c r="D762" s="74" t="s">
        <v>1269</v>
      </c>
      <c r="E762" s="74" t="s">
        <v>1266</v>
      </c>
      <c r="F762" s="74" t="s">
        <v>1268</v>
      </c>
      <c r="G762" s="74" t="s">
        <v>1267</v>
      </c>
    </row>
    <row r="763" spans="1:7" x14ac:dyDescent="0.2">
      <c r="A763" s="40">
        <v>3863</v>
      </c>
      <c r="B763" s="39" t="s">
        <v>614</v>
      </c>
      <c r="C763" s="40" t="s">
        <v>1281</v>
      </c>
      <c r="D763" s="74" t="s">
        <v>1269</v>
      </c>
      <c r="E763" s="74" t="s">
        <v>1266</v>
      </c>
      <c r="F763" s="74" t="s">
        <v>1268</v>
      </c>
      <c r="G763" s="74" t="s">
        <v>1267</v>
      </c>
    </row>
    <row r="764" spans="1:7" x14ac:dyDescent="0.2">
      <c r="A764" s="40">
        <v>3871</v>
      </c>
      <c r="B764" s="39" t="s">
        <v>615</v>
      </c>
      <c r="C764" s="40" t="s">
        <v>1281</v>
      </c>
      <c r="D764" s="74" t="s">
        <v>1269</v>
      </c>
      <c r="E764" s="74" t="s">
        <v>1266</v>
      </c>
      <c r="F764" s="74" t="s">
        <v>1268</v>
      </c>
      <c r="G764" s="74" t="s">
        <v>1268</v>
      </c>
    </row>
    <row r="765" spans="1:7" x14ac:dyDescent="0.2">
      <c r="A765" s="40">
        <v>3872</v>
      </c>
      <c r="B765" s="39" t="s">
        <v>616</v>
      </c>
      <c r="C765" s="40" t="s">
        <v>1281</v>
      </c>
      <c r="D765" s="74" t="s">
        <v>1269</v>
      </c>
      <c r="E765" s="74" t="s">
        <v>1266</v>
      </c>
      <c r="F765" s="74" t="s">
        <v>1268</v>
      </c>
      <c r="G765" s="74" t="s">
        <v>1267</v>
      </c>
    </row>
    <row r="766" spans="1:7" x14ac:dyDescent="0.2">
      <c r="A766" s="40">
        <v>3873</v>
      </c>
      <c r="B766" s="39" t="s">
        <v>617</v>
      </c>
      <c r="C766" s="40" t="s">
        <v>1281</v>
      </c>
      <c r="D766" s="74" t="s">
        <v>1269</v>
      </c>
      <c r="E766" s="74" t="s">
        <v>1266</v>
      </c>
      <c r="F766" s="74" t="s">
        <v>1268</v>
      </c>
      <c r="G766" s="74" t="s">
        <v>1267</v>
      </c>
    </row>
    <row r="767" spans="1:7" x14ac:dyDescent="0.2">
      <c r="A767" s="40">
        <v>3874</v>
      </c>
      <c r="B767" s="39" t="s">
        <v>618</v>
      </c>
      <c r="C767" s="40" t="s">
        <v>1281</v>
      </c>
      <c r="D767" s="74" t="s">
        <v>1269</v>
      </c>
      <c r="E767" s="74" t="s">
        <v>1266</v>
      </c>
      <c r="F767" s="74" t="s">
        <v>1268</v>
      </c>
      <c r="G767" s="74" t="s">
        <v>1268</v>
      </c>
    </row>
    <row r="768" spans="1:7" x14ac:dyDescent="0.2">
      <c r="A768" s="40">
        <v>3900</v>
      </c>
      <c r="B768" s="39" t="s">
        <v>619</v>
      </c>
      <c r="C768" s="40" t="s">
        <v>1281</v>
      </c>
      <c r="D768" s="74" t="s">
        <v>1269</v>
      </c>
      <c r="E768" s="74" t="s">
        <v>1266</v>
      </c>
      <c r="F768" s="74" t="s">
        <v>1268</v>
      </c>
      <c r="G768" s="74" t="s">
        <v>1268</v>
      </c>
    </row>
    <row r="769" spans="1:7" x14ac:dyDescent="0.2">
      <c r="A769" s="40">
        <v>3902</v>
      </c>
      <c r="B769" s="39" t="s">
        <v>620</v>
      </c>
      <c r="C769" s="40" t="s">
        <v>1281</v>
      </c>
      <c r="D769" s="74" t="s">
        <v>1269</v>
      </c>
      <c r="E769" s="74" t="s">
        <v>1266</v>
      </c>
      <c r="F769" s="74" t="s">
        <v>1268</v>
      </c>
      <c r="G769" s="74" t="s">
        <v>1268</v>
      </c>
    </row>
    <row r="770" spans="1:7" x14ac:dyDescent="0.2">
      <c r="A770" s="40">
        <v>3903</v>
      </c>
      <c r="B770" s="39" t="s">
        <v>621</v>
      </c>
      <c r="C770" s="40" t="s">
        <v>1281</v>
      </c>
      <c r="D770" s="74" t="s">
        <v>1269</v>
      </c>
      <c r="E770" s="74" t="s">
        <v>1266</v>
      </c>
      <c r="F770" s="74" t="s">
        <v>1268</v>
      </c>
      <c r="G770" s="74" t="s">
        <v>1268</v>
      </c>
    </row>
    <row r="771" spans="1:7" x14ac:dyDescent="0.2">
      <c r="A771" s="40">
        <v>3910</v>
      </c>
      <c r="B771" s="39" t="s">
        <v>1255</v>
      </c>
      <c r="C771" s="40" t="s">
        <v>1281</v>
      </c>
      <c r="D771" s="74" t="s">
        <v>1269</v>
      </c>
      <c r="E771" s="74" t="s">
        <v>1266</v>
      </c>
      <c r="F771" s="74" t="s">
        <v>1268</v>
      </c>
      <c r="G771" s="74" t="s">
        <v>1268</v>
      </c>
    </row>
    <row r="772" spans="1:7" x14ac:dyDescent="0.2">
      <c r="A772" s="40">
        <v>3911</v>
      </c>
      <c r="B772" s="39" t="s">
        <v>622</v>
      </c>
      <c r="C772" s="40" t="s">
        <v>1281</v>
      </c>
      <c r="D772" s="74" t="s">
        <v>1269</v>
      </c>
      <c r="E772" s="74" t="s">
        <v>1266</v>
      </c>
      <c r="F772" s="74" t="s">
        <v>1268</v>
      </c>
      <c r="G772" s="74" t="s">
        <v>1268</v>
      </c>
    </row>
    <row r="773" spans="1:7" x14ac:dyDescent="0.2">
      <c r="A773" s="40">
        <v>3912</v>
      </c>
      <c r="B773" s="39" t="s">
        <v>623</v>
      </c>
      <c r="C773" s="40" t="s">
        <v>1281</v>
      </c>
      <c r="D773" s="74" t="s">
        <v>1269</v>
      </c>
      <c r="E773" s="74" t="s">
        <v>1266</v>
      </c>
      <c r="F773" s="74" t="s">
        <v>1268</v>
      </c>
      <c r="G773" s="74" t="s">
        <v>1267</v>
      </c>
    </row>
    <row r="774" spans="1:7" x14ac:dyDescent="0.2">
      <c r="A774" s="40">
        <v>3913</v>
      </c>
      <c r="B774" s="39" t="s">
        <v>624</v>
      </c>
      <c r="C774" s="40" t="s">
        <v>1281</v>
      </c>
      <c r="D774" s="74" t="s">
        <v>1269</v>
      </c>
      <c r="E774" s="74" t="s">
        <v>1266</v>
      </c>
      <c r="F774" s="74" t="s">
        <v>1268</v>
      </c>
      <c r="G774" s="74" t="s">
        <v>1267</v>
      </c>
    </row>
    <row r="775" spans="1:7" x14ac:dyDescent="0.2">
      <c r="A775" s="40">
        <v>3914</v>
      </c>
      <c r="B775" s="39" t="s">
        <v>625</v>
      </c>
      <c r="C775" s="40" t="s">
        <v>1281</v>
      </c>
      <c r="D775" s="74" t="s">
        <v>1269</v>
      </c>
      <c r="E775" s="74" t="s">
        <v>1266</v>
      </c>
      <c r="F775" s="74" t="s">
        <v>1268</v>
      </c>
      <c r="G775" s="74" t="s">
        <v>1267</v>
      </c>
    </row>
    <row r="776" spans="1:7" x14ac:dyDescent="0.2">
      <c r="A776" s="40">
        <v>3920</v>
      </c>
      <c r="B776" s="39" t="s">
        <v>626</v>
      </c>
      <c r="C776" s="40" t="s">
        <v>1281</v>
      </c>
      <c r="D776" s="74" t="s">
        <v>1269</v>
      </c>
      <c r="E776" s="74" t="s">
        <v>1266</v>
      </c>
      <c r="F776" s="74" t="s">
        <v>1268</v>
      </c>
      <c r="G776" s="74" t="s">
        <v>1268</v>
      </c>
    </row>
    <row r="777" spans="1:7" x14ac:dyDescent="0.2">
      <c r="A777" s="40">
        <v>3921</v>
      </c>
      <c r="B777" s="39" t="s">
        <v>627</v>
      </c>
      <c r="C777" s="40" t="s">
        <v>1281</v>
      </c>
      <c r="D777" s="74" t="s">
        <v>1269</v>
      </c>
      <c r="E777" s="74" t="s">
        <v>1266</v>
      </c>
      <c r="F777" s="74" t="s">
        <v>1268</v>
      </c>
      <c r="G777" s="74" t="s">
        <v>1267</v>
      </c>
    </row>
    <row r="778" spans="1:7" x14ac:dyDescent="0.2">
      <c r="A778" s="40">
        <v>3922</v>
      </c>
      <c r="B778" s="39" t="s">
        <v>628</v>
      </c>
      <c r="C778" s="40" t="s">
        <v>1281</v>
      </c>
      <c r="D778" s="74" t="s">
        <v>1269</v>
      </c>
      <c r="E778" s="74" t="s">
        <v>1266</v>
      </c>
      <c r="F778" s="74" t="s">
        <v>1268</v>
      </c>
      <c r="G778" s="74" t="s">
        <v>1267</v>
      </c>
    </row>
    <row r="779" spans="1:7" x14ac:dyDescent="0.2">
      <c r="A779" s="40">
        <v>3923</v>
      </c>
      <c r="B779" s="39" t="s">
        <v>629</v>
      </c>
      <c r="C779" s="40" t="s">
        <v>1281</v>
      </c>
      <c r="D779" s="74" t="s">
        <v>1269</v>
      </c>
      <c r="E779" s="74" t="s">
        <v>1266</v>
      </c>
      <c r="F779" s="74" t="s">
        <v>1268</v>
      </c>
      <c r="G779" s="74" t="s">
        <v>1267</v>
      </c>
    </row>
    <row r="780" spans="1:7" x14ac:dyDescent="0.2">
      <c r="A780" s="40">
        <v>3924</v>
      </c>
      <c r="B780" s="39" t="s">
        <v>630</v>
      </c>
      <c r="C780" s="40" t="s">
        <v>1281</v>
      </c>
      <c r="D780" s="74" t="s">
        <v>1269</v>
      </c>
      <c r="E780" s="74" t="s">
        <v>1266</v>
      </c>
      <c r="F780" s="74" t="s">
        <v>1268</v>
      </c>
      <c r="G780" s="74" t="s">
        <v>1267</v>
      </c>
    </row>
    <row r="781" spans="1:7" x14ac:dyDescent="0.2">
      <c r="A781" s="40">
        <v>3925</v>
      </c>
      <c r="B781" s="39" t="s">
        <v>631</v>
      </c>
      <c r="C781" s="40" t="s">
        <v>1281</v>
      </c>
      <c r="D781" s="74" t="s">
        <v>1269</v>
      </c>
      <c r="E781" s="74" t="s">
        <v>1266</v>
      </c>
      <c r="F781" s="74" t="s">
        <v>1268</v>
      </c>
      <c r="G781" s="74" t="s">
        <v>1268</v>
      </c>
    </row>
    <row r="782" spans="1:7" x14ac:dyDescent="0.2">
      <c r="A782" s="40">
        <v>3931</v>
      </c>
      <c r="B782" s="39" t="s">
        <v>632</v>
      </c>
      <c r="C782" s="40" t="s">
        <v>1281</v>
      </c>
      <c r="D782" s="74" t="s">
        <v>1269</v>
      </c>
      <c r="E782" s="74" t="s">
        <v>1266</v>
      </c>
      <c r="F782" s="74" t="s">
        <v>1268</v>
      </c>
      <c r="G782" s="74" t="s">
        <v>1268</v>
      </c>
    </row>
    <row r="783" spans="1:7" x14ac:dyDescent="0.2">
      <c r="A783" s="40">
        <v>3932</v>
      </c>
      <c r="B783" s="39" t="s">
        <v>633</v>
      </c>
      <c r="C783" s="40" t="s">
        <v>1281</v>
      </c>
      <c r="D783" s="74" t="s">
        <v>1269</v>
      </c>
      <c r="E783" s="74" t="s">
        <v>1266</v>
      </c>
      <c r="F783" s="74" t="s">
        <v>1268</v>
      </c>
      <c r="G783" s="74" t="s">
        <v>1267</v>
      </c>
    </row>
    <row r="784" spans="1:7" x14ac:dyDescent="0.2">
      <c r="A784" s="40">
        <v>3942</v>
      </c>
      <c r="B784" s="39" t="s">
        <v>634</v>
      </c>
      <c r="C784" s="40" t="s">
        <v>1281</v>
      </c>
      <c r="D784" s="74" t="s">
        <v>1269</v>
      </c>
      <c r="E784" s="74" t="s">
        <v>1266</v>
      </c>
      <c r="F784" s="74" t="s">
        <v>1268</v>
      </c>
      <c r="G784" s="74" t="s">
        <v>1267</v>
      </c>
    </row>
    <row r="785" spans="1:7" x14ac:dyDescent="0.2">
      <c r="A785" s="40">
        <v>3943</v>
      </c>
      <c r="B785" s="39" t="s">
        <v>635</v>
      </c>
      <c r="C785" s="40" t="s">
        <v>1281</v>
      </c>
      <c r="D785" s="74" t="s">
        <v>1269</v>
      </c>
      <c r="E785" s="74" t="s">
        <v>1266</v>
      </c>
      <c r="F785" s="74" t="s">
        <v>1268</v>
      </c>
      <c r="G785" s="74" t="s">
        <v>1268</v>
      </c>
    </row>
    <row r="786" spans="1:7" x14ac:dyDescent="0.2">
      <c r="A786" s="40">
        <v>3944</v>
      </c>
      <c r="B786" s="39" t="s">
        <v>636</v>
      </c>
      <c r="C786" s="40" t="s">
        <v>1281</v>
      </c>
      <c r="D786" s="74" t="s">
        <v>1269</v>
      </c>
      <c r="E786" s="74" t="s">
        <v>1266</v>
      </c>
      <c r="F786" s="74" t="s">
        <v>1268</v>
      </c>
      <c r="G786" s="74" t="s">
        <v>1267</v>
      </c>
    </row>
    <row r="787" spans="1:7" x14ac:dyDescent="0.2">
      <c r="A787" s="40">
        <v>3945</v>
      </c>
      <c r="B787" s="39" t="s">
        <v>637</v>
      </c>
      <c r="C787" s="40" t="s">
        <v>1281</v>
      </c>
      <c r="D787" s="74" t="s">
        <v>1269</v>
      </c>
      <c r="E787" s="74" t="s">
        <v>1266</v>
      </c>
      <c r="F787" s="74" t="s">
        <v>1268</v>
      </c>
      <c r="G787" s="74" t="s">
        <v>1267</v>
      </c>
    </row>
    <row r="788" spans="1:7" x14ac:dyDescent="0.2">
      <c r="A788" s="40">
        <v>3950</v>
      </c>
      <c r="B788" s="39" t="s">
        <v>638</v>
      </c>
      <c r="C788" s="40" t="s">
        <v>1281</v>
      </c>
      <c r="D788" s="74" t="s">
        <v>1269</v>
      </c>
      <c r="E788" s="74" t="s">
        <v>1266</v>
      </c>
      <c r="F788" s="74" t="s">
        <v>1268</v>
      </c>
      <c r="G788" s="74" t="s">
        <v>1268</v>
      </c>
    </row>
    <row r="789" spans="1:7" x14ac:dyDescent="0.2">
      <c r="A789" s="40">
        <v>3961</v>
      </c>
      <c r="B789" s="39" t="s">
        <v>639</v>
      </c>
      <c r="C789" s="40" t="s">
        <v>1281</v>
      </c>
      <c r="D789" s="74" t="s">
        <v>1269</v>
      </c>
      <c r="E789" s="74" t="s">
        <v>1266</v>
      </c>
      <c r="F789" s="74" t="s">
        <v>1268</v>
      </c>
      <c r="G789" s="74" t="s">
        <v>1267</v>
      </c>
    </row>
    <row r="790" spans="1:7" x14ac:dyDescent="0.2">
      <c r="A790" s="40">
        <v>3962</v>
      </c>
      <c r="B790" s="39" t="s">
        <v>640</v>
      </c>
      <c r="C790" s="40" t="s">
        <v>1281</v>
      </c>
      <c r="D790" s="74" t="s">
        <v>1269</v>
      </c>
      <c r="E790" s="74" t="s">
        <v>1266</v>
      </c>
      <c r="F790" s="74" t="s">
        <v>1268</v>
      </c>
      <c r="G790" s="74" t="s">
        <v>1267</v>
      </c>
    </row>
    <row r="791" spans="1:7" x14ac:dyDescent="0.2">
      <c r="A791" s="40">
        <v>3970</v>
      </c>
      <c r="B791" s="39" t="s">
        <v>641</v>
      </c>
      <c r="C791" s="40" t="s">
        <v>1281</v>
      </c>
      <c r="D791" s="74" t="s">
        <v>1269</v>
      </c>
      <c r="E791" s="74" t="s">
        <v>1266</v>
      </c>
      <c r="F791" s="74" t="s">
        <v>1268</v>
      </c>
      <c r="G791" s="74" t="s">
        <v>1268</v>
      </c>
    </row>
    <row r="792" spans="1:7" x14ac:dyDescent="0.2">
      <c r="A792" s="40">
        <v>3971</v>
      </c>
      <c r="B792" s="39" t="s">
        <v>642</v>
      </c>
      <c r="C792" s="40" t="s">
        <v>1281</v>
      </c>
      <c r="D792" s="74" t="s">
        <v>1269</v>
      </c>
      <c r="E792" s="74" t="s">
        <v>1266</v>
      </c>
      <c r="F792" s="74" t="s">
        <v>1268</v>
      </c>
      <c r="G792" s="74" t="s">
        <v>1267</v>
      </c>
    </row>
    <row r="793" spans="1:7" x14ac:dyDescent="0.2">
      <c r="A793" s="40">
        <v>3972</v>
      </c>
      <c r="B793" s="39" t="s">
        <v>643</v>
      </c>
      <c r="C793" s="40" t="s">
        <v>1281</v>
      </c>
      <c r="D793" s="74" t="s">
        <v>1269</v>
      </c>
      <c r="E793" s="74" t="s">
        <v>1266</v>
      </c>
      <c r="F793" s="74" t="s">
        <v>1268</v>
      </c>
      <c r="G793" s="74" t="s">
        <v>1268</v>
      </c>
    </row>
    <row r="794" spans="1:7" x14ac:dyDescent="0.2">
      <c r="A794" s="40">
        <v>3973</v>
      </c>
      <c r="B794" s="39" t="s">
        <v>644</v>
      </c>
      <c r="C794" s="40" t="s">
        <v>1281</v>
      </c>
      <c r="D794" s="74" t="s">
        <v>1269</v>
      </c>
      <c r="E794" s="74" t="s">
        <v>1266</v>
      </c>
      <c r="F794" s="74" t="s">
        <v>1268</v>
      </c>
      <c r="G794" s="74" t="s">
        <v>1267</v>
      </c>
    </row>
    <row r="795" spans="1:7" x14ac:dyDescent="0.2">
      <c r="A795" s="40">
        <v>4010</v>
      </c>
      <c r="B795" s="39" t="s">
        <v>645</v>
      </c>
      <c r="C795" s="40" t="s">
        <v>520</v>
      </c>
      <c r="D795" s="74" t="s">
        <v>1271</v>
      </c>
      <c r="E795" s="74" t="s">
        <v>1266</v>
      </c>
      <c r="F795" s="74" t="s">
        <v>1267</v>
      </c>
      <c r="G795" s="74" t="s">
        <v>1268</v>
      </c>
    </row>
    <row r="796" spans="1:7" x14ac:dyDescent="0.2">
      <c r="A796" s="40">
        <v>4013</v>
      </c>
      <c r="B796" s="39" t="s">
        <v>645</v>
      </c>
      <c r="C796" s="40" t="s">
        <v>520</v>
      </c>
      <c r="D796" s="74" t="s">
        <v>1271</v>
      </c>
      <c r="E796" s="74" t="s">
        <v>1266</v>
      </c>
      <c r="F796" s="74" t="s">
        <v>1267</v>
      </c>
      <c r="G796" s="74" t="s">
        <v>1268</v>
      </c>
    </row>
    <row r="797" spans="1:7" x14ac:dyDescent="0.2">
      <c r="A797" s="40">
        <v>4014</v>
      </c>
      <c r="B797" s="39" t="s">
        <v>645</v>
      </c>
      <c r="C797" s="40" t="s">
        <v>520</v>
      </c>
      <c r="D797" s="74" t="s">
        <v>1271</v>
      </c>
      <c r="E797" s="74" t="s">
        <v>1266</v>
      </c>
      <c r="F797" s="74" t="s">
        <v>1267</v>
      </c>
      <c r="G797" s="74" t="s">
        <v>1268</v>
      </c>
    </row>
    <row r="798" spans="1:7" x14ac:dyDescent="0.2">
      <c r="A798" s="40">
        <v>4015</v>
      </c>
      <c r="B798" s="39" t="s">
        <v>645</v>
      </c>
      <c r="C798" s="40" t="s">
        <v>520</v>
      </c>
      <c r="D798" s="74" t="s">
        <v>1271</v>
      </c>
      <c r="E798" s="74" t="s">
        <v>1266</v>
      </c>
      <c r="F798" s="74" t="s">
        <v>1267</v>
      </c>
      <c r="G798" s="74" t="s">
        <v>1268</v>
      </c>
    </row>
    <row r="799" spans="1:7" x14ac:dyDescent="0.2">
      <c r="A799" s="40">
        <v>4017</v>
      </c>
      <c r="B799" s="39" t="s">
        <v>645</v>
      </c>
      <c r="C799" s="40" t="s">
        <v>520</v>
      </c>
      <c r="D799" s="74" t="s">
        <v>1271</v>
      </c>
      <c r="E799" s="74" t="s">
        <v>1266</v>
      </c>
      <c r="F799" s="74" t="s">
        <v>1267</v>
      </c>
      <c r="G799" s="74" t="s">
        <v>1268</v>
      </c>
    </row>
    <row r="800" spans="1:7" x14ac:dyDescent="0.2">
      <c r="A800" s="40">
        <v>4018</v>
      </c>
      <c r="B800" s="39" t="s">
        <v>645</v>
      </c>
      <c r="C800" s="40" t="s">
        <v>520</v>
      </c>
      <c r="D800" s="74" t="s">
        <v>1271</v>
      </c>
      <c r="E800" s="74" t="s">
        <v>1266</v>
      </c>
      <c r="F800" s="74" t="s">
        <v>1267</v>
      </c>
      <c r="G800" s="74" t="s">
        <v>1268</v>
      </c>
    </row>
    <row r="801" spans="1:7" x14ac:dyDescent="0.2">
      <c r="A801" s="40">
        <v>4020</v>
      </c>
      <c r="B801" s="39" t="s">
        <v>646</v>
      </c>
      <c r="C801" s="40" t="s">
        <v>520</v>
      </c>
      <c r="D801" s="74" t="s">
        <v>1269</v>
      </c>
      <c r="E801" s="74" t="s">
        <v>1266</v>
      </c>
      <c r="F801" s="74" t="s">
        <v>1268</v>
      </c>
      <c r="G801" s="74" t="s">
        <v>1268</v>
      </c>
    </row>
    <row r="802" spans="1:7" x14ac:dyDescent="0.2">
      <c r="A802" s="40">
        <v>4021</v>
      </c>
      <c r="B802" s="39" t="s">
        <v>647</v>
      </c>
      <c r="C802" s="40" t="s">
        <v>520</v>
      </c>
      <c r="D802" s="74" t="s">
        <v>1271</v>
      </c>
      <c r="E802" s="74" t="s">
        <v>1266</v>
      </c>
      <c r="F802" s="74" t="s">
        <v>1267</v>
      </c>
      <c r="G802" s="74" t="s">
        <v>1268</v>
      </c>
    </row>
    <row r="803" spans="1:7" x14ac:dyDescent="0.2">
      <c r="A803" s="40">
        <v>4025</v>
      </c>
      <c r="B803" s="39" t="s">
        <v>645</v>
      </c>
      <c r="C803" s="40" t="s">
        <v>520</v>
      </c>
      <c r="D803" s="74" t="s">
        <v>1271</v>
      </c>
      <c r="E803" s="74" t="s">
        <v>1266</v>
      </c>
      <c r="F803" s="74" t="s">
        <v>1267</v>
      </c>
      <c r="G803" s="74" t="s">
        <v>1268</v>
      </c>
    </row>
    <row r="804" spans="1:7" x14ac:dyDescent="0.2">
      <c r="A804" s="40">
        <v>4026</v>
      </c>
      <c r="B804" s="39" t="s">
        <v>645</v>
      </c>
      <c r="C804" s="40" t="s">
        <v>520</v>
      </c>
      <c r="D804" s="74" t="s">
        <v>1271</v>
      </c>
      <c r="E804" s="74" t="s">
        <v>1266</v>
      </c>
      <c r="F804" s="74" t="s">
        <v>1267</v>
      </c>
      <c r="G804" s="74" t="s">
        <v>1268</v>
      </c>
    </row>
    <row r="805" spans="1:7" x14ac:dyDescent="0.2">
      <c r="A805" s="40">
        <v>4029</v>
      </c>
      <c r="B805" s="39" t="s">
        <v>645</v>
      </c>
      <c r="C805" s="40" t="s">
        <v>520</v>
      </c>
      <c r="D805" s="74" t="s">
        <v>1271</v>
      </c>
      <c r="E805" s="74" t="s">
        <v>1266</v>
      </c>
      <c r="F805" s="74" t="s">
        <v>1267</v>
      </c>
      <c r="G805" s="74" t="s">
        <v>1268</v>
      </c>
    </row>
    <row r="806" spans="1:7" x14ac:dyDescent="0.2">
      <c r="A806" s="40">
        <v>4030</v>
      </c>
      <c r="B806" s="39" t="s">
        <v>646</v>
      </c>
      <c r="C806" s="40" t="s">
        <v>520</v>
      </c>
      <c r="D806" s="74" t="s">
        <v>1269</v>
      </c>
      <c r="E806" s="74" t="s">
        <v>1266</v>
      </c>
      <c r="F806" s="74" t="s">
        <v>1268</v>
      </c>
      <c r="G806" s="74" t="s">
        <v>1268</v>
      </c>
    </row>
    <row r="807" spans="1:7" x14ac:dyDescent="0.2">
      <c r="A807" s="40">
        <v>4031</v>
      </c>
      <c r="B807" s="39" t="s">
        <v>647</v>
      </c>
      <c r="C807" s="40" t="s">
        <v>520</v>
      </c>
      <c r="D807" s="74" t="s">
        <v>1271</v>
      </c>
      <c r="E807" s="74" t="s">
        <v>1266</v>
      </c>
      <c r="F807" s="74" t="s">
        <v>1267</v>
      </c>
      <c r="G807" s="74" t="s">
        <v>1268</v>
      </c>
    </row>
    <row r="808" spans="1:7" x14ac:dyDescent="0.2">
      <c r="A808" s="40">
        <v>4033</v>
      </c>
      <c r="B808" s="39" t="s">
        <v>1552</v>
      </c>
      <c r="C808" s="40" t="s">
        <v>520</v>
      </c>
      <c r="D808" s="74" t="s">
        <v>1271</v>
      </c>
      <c r="E808" s="74" t="s">
        <v>1266</v>
      </c>
      <c r="F808" s="74" t="s">
        <v>1267</v>
      </c>
      <c r="G808" s="74" t="s">
        <v>1268</v>
      </c>
    </row>
    <row r="809" spans="1:7" x14ac:dyDescent="0.2">
      <c r="A809" s="40">
        <v>4034</v>
      </c>
      <c r="B809" s="39" t="s">
        <v>645</v>
      </c>
      <c r="C809" s="40" t="s">
        <v>520</v>
      </c>
      <c r="D809" s="74" t="s">
        <v>1271</v>
      </c>
      <c r="E809" s="74" t="s">
        <v>1266</v>
      </c>
      <c r="F809" s="74" t="s">
        <v>1267</v>
      </c>
      <c r="G809" s="74" t="s">
        <v>1268</v>
      </c>
    </row>
    <row r="810" spans="1:7" x14ac:dyDescent="0.2">
      <c r="A810" s="40">
        <v>4040</v>
      </c>
      <c r="B810" s="39" t="s">
        <v>646</v>
      </c>
      <c r="C810" s="40" t="s">
        <v>520</v>
      </c>
      <c r="D810" s="74" t="s">
        <v>1269</v>
      </c>
      <c r="E810" s="74" t="s">
        <v>1266</v>
      </c>
      <c r="F810" s="74" t="s">
        <v>1268</v>
      </c>
      <c r="G810" s="74" t="s">
        <v>1268</v>
      </c>
    </row>
    <row r="811" spans="1:7" x14ac:dyDescent="0.2">
      <c r="A811" s="40">
        <v>4041</v>
      </c>
      <c r="B811" s="39" t="s">
        <v>647</v>
      </c>
      <c r="C811" s="40" t="s">
        <v>520</v>
      </c>
      <c r="D811" s="74" t="s">
        <v>1271</v>
      </c>
      <c r="E811" s="74" t="s">
        <v>1266</v>
      </c>
      <c r="F811" s="74" t="s">
        <v>1267</v>
      </c>
      <c r="G811" s="74" t="s">
        <v>1268</v>
      </c>
    </row>
    <row r="812" spans="1:7" x14ac:dyDescent="0.2">
      <c r="A812" s="40">
        <v>4044</v>
      </c>
      <c r="B812" s="39" t="s">
        <v>645</v>
      </c>
      <c r="C812" s="40" t="s">
        <v>520</v>
      </c>
      <c r="D812" s="74" t="s">
        <v>1271</v>
      </c>
      <c r="E812" s="74" t="s">
        <v>1266</v>
      </c>
      <c r="F812" s="74" t="s">
        <v>1267</v>
      </c>
      <c r="G812" s="74" t="s">
        <v>1268</v>
      </c>
    </row>
    <row r="813" spans="1:7" x14ac:dyDescent="0.2">
      <c r="A813" s="40">
        <v>4046</v>
      </c>
      <c r="B813" s="39" t="s">
        <v>645</v>
      </c>
      <c r="C813" s="40" t="s">
        <v>520</v>
      </c>
      <c r="D813" s="74" t="s">
        <v>1271</v>
      </c>
      <c r="E813" s="74" t="s">
        <v>1266</v>
      </c>
      <c r="F813" s="74" t="s">
        <v>1267</v>
      </c>
      <c r="G813" s="74" t="s">
        <v>1268</v>
      </c>
    </row>
    <row r="814" spans="1:7" x14ac:dyDescent="0.2">
      <c r="A814" s="40">
        <v>4048</v>
      </c>
      <c r="B814" s="39" t="s">
        <v>1553</v>
      </c>
      <c r="C814" s="40" t="s">
        <v>520</v>
      </c>
      <c r="D814" s="74" t="s">
        <v>1269</v>
      </c>
      <c r="E814" s="74" t="s">
        <v>1266</v>
      </c>
      <c r="F814" s="74" t="s">
        <v>1268</v>
      </c>
      <c r="G814" s="74" t="s">
        <v>1268</v>
      </c>
    </row>
    <row r="815" spans="1:7" x14ac:dyDescent="0.2">
      <c r="A815" s="40">
        <v>4050</v>
      </c>
      <c r="B815" s="39" t="s">
        <v>1554</v>
      </c>
      <c r="C815" s="40" t="s">
        <v>520</v>
      </c>
      <c r="D815" s="74" t="s">
        <v>1269</v>
      </c>
      <c r="E815" s="74" t="s">
        <v>1266</v>
      </c>
      <c r="F815" s="74" t="s">
        <v>1268</v>
      </c>
      <c r="G815" s="74" t="s">
        <v>1268</v>
      </c>
    </row>
    <row r="816" spans="1:7" x14ac:dyDescent="0.2">
      <c r="A816" s="40">
        <v>4052</v>
      </c>
      <c r="B816" s="39" t="s">
        <v>1555</v>
      </c>
      <c r="C816" s="40" t="s">
        <v>520</v>
      </c>
      <c r="D816" s="74" t="s">
        <v>1269</v>
      </c>
      <c r="E816" s="74" t="s">
        <v>1266</v>
      </c>
      <c r="F816" s="74" t="s">
        <v>1268</v>
      </c>
      <c r="G816" s="74" t="s">
        <v>1268</v>
      </c>
    </row>
    <row r="817" spans="1:7" x14ac:dyDescent="0.2">
      <c r="A817" s="40">
        <v>4053</v>
      </c>
      <c r="B817" s="39" t="s">
        <v>1556</v>
      </c>
      <c r="C817" s="40" t="s">
        <v>520</v>
      </c>
      <c r="D817" s="74" t="s">
        <v>1269</v>
      </c>
      <c r="E817" s="74" t="s">
        <v>1266</v>
      </c>
      <c r="F817" s="74" t="s">
        <v>1268</v>
      </c>
      <c r="G817" s="74" t="s">
        <v>1268</v>
      </c>
    </row>
    <row r="818" spans="1:7" x14ac:dyDescent="0.2">
      <c r="A818" s="40">
        <v>4055</v>
      </c>
      <c r="B818" s="39" t="s">
        <v>1557</v>
      </c>
      <c r="C818" s="40" t="s">
        <v>520</v>
      </c>
      <c r="D818" s="74" t="s">
        <v>1269</v>
      </c>
      <c r="E818" s="74" t="s">
        <v>1266</v>
      </c>
      <c r="F818" s="74" t="s">
        <v>1268</v>
      </c>
      <c r="G818" s="74" t="s">
        <v>1267</v>
      </c>
    </row>
    <row r="819" spans="1:7" x14ac:dyDescent="0.2">
      <c r="A819" s="40">
        <v>4059</v>
      </c>
      <c r="B819" s="39" t="s">
        <v>1558</v>
      </c>
      <c r="C819" s="40" t="s">
        <v>520</v>
      </c>
      <c r="D819" s="74" t="s">
        <v>1271</v>
      </c>
      <c r="E819" s="74" t="s">
        <v>1266</v>
      </c>
      <c r="F819" s="74" t="s">
        <v>1267</v>
      </c>
      <c r="G819" s="74" t="s">
        <v>1268</v>
      </c>
    </row>
    <row r="820" spans="1:7" x14ac:dyDescent="0.2">
      <c r="A820" s="40">
        <v>4060</v>
      </c>
      <c r="B820" s="39" t="s">
        <v>1558</v>
      </c>
      <c r="C820" s="40" t="s">
        <v>520</v>
      </c>
      <c r="D820" s="74" t="s">
        <v>1269</v>
      </c>
      <c r="E820" s="74" t="s">
        <v>1266</v>
      </c>
      <c r="F820" s="74" t="s">
        <v>1268</v>
      </c>
      <c r="G820" s="74" t="s">
        <v>1268</v>
      </c>
    </row>
    <row r="821" spans="1:7" x14ac:dyDescent="0.2">
      <c r="A821" s="40">
        <v>4061</v>
      </c>
      <c r="B821" s="39" t="s">
        <v>1559</v>
      </c>
      <c r="C821" s="40" t="s">
        <v>520</v>
      </c>
      <c r="D821" s="74" t="s">
        <v>1269</v>
      </c>
      <c r="E821" s="74" t="s">
        <v>1266</v>
      </c>
      <c r="F821" s="74" t="s">
        <v>1268</v>
      </c>
      <c r="G821" s="74" t="s">
        <v>1268</v>
      </c>
    </row>
    <row r="822" spans="1:7" x14ac:dyDescent="0.2">
      <c r="A822" s="40">
        <v>4062</v>
      </c>
      <c r="B822" s="39" t="s">
        <v>1560</v>
      </c>
      <c r="C822" s="40" t="s">
        <v>520</v>
      </c>
      <c r="D822" s="74" t="s">
        <v>1269</v>
      </c>
      <c r="E822" s="74" t="s">
        <v>1266</v>
      </c>
      <c r="F822" s="74" t="s">
        <v>1268</v>
      </c>
      <c r="G822" s="74" t="s">
        <v>1267</v>
      </c>
    </row>
    <row r="823" spans="1:7" x14ac:dyDescent="0.2">
      <c r="A823" s="40">
        <v>4063</v>
      </c>
      <c r="B823" s="39" t="s">
        <v>1564</v>
      </c>
      <c r="C823" s="40" t="s">
        <v>520</v>
      </c>
      <c r="D823" s="74" t="s">
        <v>1269</v>
      </c>
      <c r="E823" s="74" t="s">
        <v>1266</v>
      </c>
      <c r="F823" s="74" t="s">
        <v>1268</v>
      </c>
      <c r="G823" s="74" t="s">
        <v>1268</v>
      </c>
    </row>
    <row r="824" spans="1:7" x14ac:dyDescent="0.2">
      <c r="A824" s="40">
        <v>4064</v>
      </c>
      <c r="B824" s="39" t="s">
        <v>1565</v>
      </c>
      <c r="C824" s="40" t="s">
        <v>520</v>
      </c>
      <c r="D824" s="74" t="s">
        <v>1269</v>
      </c>
      <c r="E824" s="74" t="s">
        <v>1266</v>
      </c>
      <c r="F824" s="74" t="s">
        <v>1268</v>
      </c>
      <c r="G824" s="74" t="s">
        <v>1268</v>
      </c>
    </row>
    <row r="825" spans="1:7" x14ac:dyDescent="0.2">
      <c r="A825" s="40">
        <v>4066</v>
      </c>
      <c r="B825" s="39" t="s">
        <v>1559</v>
      </c>
      <c r="C825" s="40" t="s">
        <v>520</v>
      </c>
      <c r="D825" s="74" t="s">
        <v>1271</v>
      </c>
      <c r="E825" s="74" t="s">
        <v>1266</v>
      </c>
      <c r="F825" s="74" t="s">
        <v>1267</v>
      </c>
      <c r="G825" s="74" t="s">
        <v>1268</v>
      </c>
    </row>
    <row r="826" spans="1:7" x14ac:dyDescent="0.2">
      <c r="A826" s="40">
        <v>4069</v>
      </c>
      <c r="B826" s="39" t="s">
        <v>1558</v>
      </c>
      <c r="C826" s="40" t="s">
        <v>520</v>
      </c>
      <c r="D826" s="74" t="s">
        <v>1271</v>
      </c>
      <c r="E826" s="74" t="s">
        <v>1266</v>
      </c>
      <c r="F826" s="74" t="s">
        <v>1267</v>
      </c>
      <c r="G826" s="74" t="s">
        <v>1268</v>
      </c>
    </row>
    <row r="827" spans="1:7" x14ac:dyDescent="0.2">
      <c r="A827" s="40">
        <v>4070</v>
      </c>
      <c r="B827" s="39" t="s">
        <v>1566</v>
      </c>
      <c r="C827" s="40" t="s">
        <v>520</v>
      </c>
      <c r="D827" s="74" t="s">
        <v>1269</v>
      </c>
      <c r="E827" s="74" t="s">
        <v>1266</v>
      </c>
      <c r="F827" s="74" t="s">
        <v>1268</v>
      </c>
      <c r="G827" s="74" t="s">
        <v>1268</v>
      </c>
    </row>
    <row r="828" spans="1:7" x14ac:dyDescent="0.2">
      <c r="A828" s="40">
        <v>4072</v>
      </c>
      <c r="B828" s="39" t="s">
        <v>1567</v>
      </c>
      <c r="C828" s="40" t="s">
        <v>520</v>
      </c>
      <c r="D828" s="74" t="s">
        <v>1269</v>
      </c>
      <c r="E828" s="74" t="s">
        <v>1266</v>
      </c>
      <c r="F828" s="74" t="s">
        <v>1268</v>
      </c>
      <c r="G828" s="74" t="s">
        <v>1268</v>
      </c>
    </row>
    <row r="829" spans="1:7" x14ac:dyDescent="0.2">
      <c r="A829" s="40">
        <v>4073</v>
      </c>
      <c r="B829" s="39" t="s">
        <v>1568</v>
      </c>
      <c r="C829" s="40" t="s">
        <v>520</v>
      </c>
      <c r="D829" s="74" t="s">
        <v>1269</v>
      </c>
      <c r="E829" s="74" t="s">
        <v>1266</v>
      </c>
      <c r="F829" s="74" t="s">
        <v>1268</v>
      </c>
      <c r="G829" s="74" t="s">
        <v>1268</v>
      </c>
    </row>
    <row r="830" spans="1:7" x14ac:dyDescent="0.2">
      <c r="A830" s="40">
        <v>4074</v>
      </c>
      <c r="B830" s="39" t="s">
        <v>1569</v>
      </c>
      <c r="C830" s="40" t="s">
        <v>520</v>
      </c>
      <c r="D830" s="74" t="s">
        <v>1269</v>
      </c>
      <c r="E830" s="74" t="s">
        <v>1266</v>
      </c>
      <c r="F830" s="74" t="s">
        <v>1268</v>
      </c>
      <c r="G830" s="74" t="s">
        <v>1267</v>
      </c>
    </row>
    <row r="831" spans="1:7" x14ac:dyDescent="0.2">
      <c r="A831" s="40">
        <v>4075</v>
      </c>
      <c r="B831" s="39" t="s">
        <v>1570</v>
      </c>
      <c r="C831" s="40" t="s">
        <v>520</v>
      </c>
      <c r="D831" s="74" t="s">
        <v>1269</v>
      </c>
      <c r="E831" s="74" t="s">
        <v>1266</v>
      </c>
      <c r="F831" s="74" t="s">
        <v>1268</v>
      </c>
      <c r="G831" s="74" t="s">
        <v>1267</v>
      </c>
    </row>
    <row r="832" spans="1:7" x14ac:dyDescent="0.2">
      <c r="A832" s="40">
        <v>4076</v>
      </c>
      <c r="B832" s="39" t="s">
        <v>1571</v>
      </c>
      <c r="C832" s="40" t="s">
        <v>520</v>
      </c>
      <c r="D832" s="74" t="s">
        <v>1269</v>
      </c>
      <c r="E832" s="74" t="s">
        <v>1266</v>
      </c>
      <c r="F832" s="74" t="s">
        <v>1268</v>
      </c>
      <c r="G832" s="74" t="s">
        <v>1267</v>
      </c>
    </row>
    <row r="833" spans="1:7" x14ac:dyDescent="0.2">
      <c r="A833" s="40">
        <v>4081</v>
      </c>
      <c r="B833" s="39" t="s">
        <v>1572</v>
      </c>
      <c r="C833" s="40" t="s">
        <v>520</v>
      </c>
      <c r="D833" s="74" t="s">
        <v>1269</v>
      </c>
      <c r="E833" s="74" t="s">
        <v>1266</v>
      </c>
      <c r="F833" s="74" t="s">
        <v>1268</v>
      </c>
      <c r="G833" s="74" t="s">
        <v>1268</v>
      </c>
    </row>
    <row r="834" spans="1:7" x14ac:dyDescent="0.2">
      <c r="A834" s="40">
        <v>4082</v>
      </c>
      <c r="B834" s="39" t="s">
        <v>1573</v>
      </c>
      <c r="C834" s="40" t="s">
        <v>520</v>
      </c>
      <c r="D834" s="74" t="s">
        <v>1269</v>
      </c>
      <c r="E834" s="74" t="s">
        <v>1266</v>
      </c>
      <c r="F834" s="74" t="s">
        <v>1268</v>
      </c>
      <c r="G834" s="74" t="s">
        <v>1267</v>
      </c>
    </row>
    <row r="835" spans="1:7" x14ac:dyDescent="0.2">
      <c r="A835" s="40">
        <v>4083</v>
      </c>
      <c r="B835" s="39" t="s">
        <v>649</v>
      </c>
      <c r="C835" s="40" t="s">
        <v>520</v>
      </c>
      <c r="D835" s="74" t="s">
        <v>1269</v>
      </c>
      <c r="E835" s="74" t="s">
        <v>1266</v>
      </c>
      <c r="F835" s="74" t="s">
        <v>1268</v>
      </c>
      <c r="G835" s="74" t="s">
        <v>1268</v>
      </c>
    </row>
    <row r="836" spans="1:7" x14ac:dyDescent="0.2">
      <c r="A836" s="40">
        <v>4084</v>
      </c>
      <c r="B836" s="39" t="s">
        <v>650</v>
      </c>
      <c r="C836" s="40" t="s">
        <v>520</v>
      </c>
      <c r="D836" s="74" t="s">
        <v>1269</v>
      </c>
      <c r="E836" s="74" t="s">
        <v>1266</v>
      </c>
      <c r="F836" s="74" t="s">
        <v>1268</v>
      </c>
      <c r="G836" s="74" t="s">
        <v>1267</v>
      </c>
    </row>
    <row r="837" spans="1:7" x14ac:dyDescent="0.2">
      <c r="A837" s="40">
        <v>4085</v>
      </c>
      <c r="B837" s="39" t="s">
        <v>651</v>
      </c>
      <c r="C837" s="40" t="s">
        <v>520</v>
      </c>
      <c r="D837" s="74" t="s">
        <v>1269</v>
      </c>
      <c r="E837" s="74" t="s">
        <v>1266</v>
      </c>
      <c r="F837" s="74" t="s">
        <v>1268</v>
      </c>
      <c r="G837" s="74" t="s">
        <v>1268</v>
      </c>
    </row>
    <row r="838" spans="1:7" x14ac:dyDescent="0.2">
      <c r="A838" s="40">
        <v>4090</v>
      </c>
      <c r="B838" s="39" t="s">
        <v>652</v>
      </c>
      <c r="C838" s="40" t="s">
        <v>520</v>
      </c>
      <c r="D838" s="74" t="s">
        <v>1269</v>
      </c>
      <c r="E838" s="74" t="s">
        <v>1266</v>
      </c>
      <c r="F838" s="74" t="s">
        <v>1268</v>
      </c>
      <c r="G838" s="74" t="s">
        <v>1268</v>
      </c>
    </row>
    <row r="839" spans="1:7" x14ac:dyDescent="0.2">
      <c r="A839" s="40">
        <v>4091</v>
      </c>
      <c r="B839" s="39" t="s">
        <v>653</v>
      </c>
      <c r="C839" s="40" t="s">
        <v>520</v>
      </c>
      <c r="D839" s="74" t="s">
        <v>1269</v>
      </c>
      <c r="E839" s="74" t="s">
        <v>1266</v>
      </c>
      <c r="F839" s="74" t="s">
        <v>1268</v>
      </c>
      <c r="G839" s="74" t="s">
        <v>1267</v>
      </c>
    </row>
    <row r="840" spans="1:7" x14ac:dyDescent="0.2">
      <c r="A840" s="40">
        <v>4092</v>
      </c>
      <c r="B840" s="39" t="s">
        <v>654</v>
      </c>
      <c r="C840" s="40" t="s">
        <v>520</v>
      </c>
      <c r="D840" s="74" t="s">
        <v>1269</v>
      </c>
      <c r="E840" s="74" t="s">
        <v>1266</v>
      </c>
      <c r="F840" s="74" t="s">
        <v>1268</v>
      </c>
      <c r="G840" s="74" t="s">
        <v>1268</v>
      </c>
    </row>
    <row r="841" spans="1:7" x14ac:dyDescent="0.2">
      <c r="A841" s="40">
        <v>4100</v>
      </c>
      <c r="B841" s="39" t="s">
        <v>655</v>
      </c>
      <c r="C841" s="40" t="s">
        <v>520</v>
      </c>
      <c r="D841" s="74" t="s">
        <v>1269</v>
      </c>
      <c r="E841" s="74" t="s">
        <v>1266</v>
      </c>
      <c r="F841" s="74" t="s">
        <v>1268</v>
      </c>
      <c r="G841" s="74" t="s">
        <v>1268</v>
      </c>
    </row>
    <row r="842" spans="1:7" x14ac:dyDescent="0.2">
      <c r="A842" s="40">
        <v>4101</v>
      </c>
      <c r="B842" s="39" t="s">
        <v>656</v>
      </c>
      <c r="C842" s="40" t="s">
        <v>520</v>
      </c>
      <c r="D842" s="74" t="s">
        <v>1269</v>
      </c>
      <c r="E842" s="74" t="s">
        <v>1266</v>
      </c>
      <c r="F842" s="74" t="s">
        <v>1268</v>
      </c>
      <c r="G842" s="74" t="s">
        <v>1268</v>
      </c>
    </row>
    <row r="843" spans="1:7" x14ac:dyDescent="0.2">
      <c r="A843" s="40">
        <v>4111</v>
      </c>
      <c r="B843" s="39" t="s">
        <v>657</v>
      </c>
      <c r="C843" s="40" t="s">
        <v>520</v>
      </c>
      <c r="D843" s="74" t="s">
        <v>1269</v>
      </c>
      <c r="E843" s="74" t="s">
        <v>1266</v>
      </c>
      <c r="F843" s="74" t="s">
        <v>1268</v>
      </c>
      <c r="G843" s="74" t="s">
        <v>1268</v>
      </c>
    </row>
    <row r="844" spans="1:7" x14ac:dyDescent="0.2">
      <c r="A844" s="40">
        <v>4112</v>
      </c>
      <c r="B844" s="39" t="s">
        <v>658</v>
      </c>
      <c r="C844" s="40" t="s">
        <v>520</v>
      </c>
      <c r="D844" s="74" t="s">
        <v>1269</v>
      </c>
      <c r="E844" s="74" t="s">
        <v>1266</v>
      </c>
      <c r="F844" s="74" t="s">
        <v>1268</v>
      </c>
      <c r="G844" s="74" t="s">
        <v>1267</v>
      </c>
    </row>
    <row r="845" spans="1:7" x14ac:dyDescent="0.2">
      <c r="A845" s="40">
        <v>4113</v>
      </c>
      <c r="B845" s="39" t="s">
        <v>659</v>
      </c>
      <c r="C845" s="40" t="s">
        <v>520</v>
      </c>
      <c r="D845" s="74" t="s">
        <v>1269</v>
      </c>
      <c r="E845" s="74" t="s">
        <v>1266</v>
      </c>
      <c r="F845" s="74" t="s">
        <v>1268</v>
      </c>
      <c r="G845" s="74" t="s">
        <v>1268</v>
      </c>
    </row>
    <row r="846" spans="1:7" x14ac:dyDescent="0.2">
      <c r="A846" s="40">
        <v>4114</v>
      </c>
      <c r="B846" s="39" t="s">
        <v>660</v>
      </c>
      <c r="C846" s="40" t="s">
        <v>520</v>
      </c>
      <c r="D846" s="74" t="s">
        <v>1269</v>
      </c>
      <c r="E846" s="74" t="s">
        <v>1266</v>
      </c>
      <c r="F846" s="74" t="s">
        <v>1268</v>
      </c>
      <c r="G846" s="74" t="s">
        <v>1267</v>
      </c>
    </row>
    <row r="847" spans="1:7" x14ac:dyDescent="0.2">
      <c r="A847" s="40">
        <v>4115</v>
      </c>
      <c r="B847" s="39" t="s">
        <v>661</v>
      </c>
      <c r="C847" s="40" t="s">
        <v>520</v>
      </c>
      <c r="D847" s="74" t="s">
        <v>1269</v>
      </c>
      <c r="E847" s="74" t="s">
        <v>1266</v>
      </c>
      <c r="F847" s="74" t="s">
        <v>1268</v>
      </c>
      <c r="G847" s="74" t="s">
        <v>1267</v>
      </c>
    </row>
    <row r="848" spans="1:7" x14ac:dyDescent="0.2">
      <c r="A848" s="40">
        <v>4120</v>
      </c>
      <c r="B848" s="39" t="s">
        <v>662</v>
      </c>
      <c r="C848" s="40" t="s">
        <v>520</v>
      </c>
      <c r="D848" s="74" t="s">
        <v>1269</v>
      </c>
      <c r="E848" s="74" t="s">
        <v>1266</v>
      </c>
      <c r="F848" s="74" t="s">
        <v>1268</v>
      </c>
      <c r="G848" s="74" t="s">
        <v>1268</v>
      </c>
    </row>
    <row r="849" spans="1:7" x14ac:dyDescent="0.2">
      <c r="A849" s="40">
        <v>4121</v>
      </c>
      <c r="B849" s="39" t="s">
        <v>663</v>
      </c>
      <c r="C849" s="40" t="s">
        <v>520</v>
      </c>
      <c r="D849" s="74" t="s">
        <v>1269</v>
      </c>
      <c r="E849" s="74" t="s">
        <v>1266</v>
      </c>
      <c r="F849" s="74" t="s">
        <v>1268</v>
      </c>
      <c r="G849" s="74" t="s">
        <v>1268</v>
      </c>
    </row>
    <row r="850" spans="1:7" x14ac:dyDescent="0.2">
      <c r="A850" s="40">
        <v>4122</v>
      </c>
      <c r="B850" s="39" t="s">
        <v>664</v>
      </c>
      <c r="C850" s="40" t="s">
        <v>520</v>
      </c>
      <c r="D850" s="74" t="s">
        <v>1269</v>
      </c>
      <c r="E850" s="74" t="s">
        <v>1266</v>
      </c>
      <c r="F850" s="74" t="s">
        <v>1268</v>
      </c>
      <c r="G850" s="74" t="s">
        <v>1267</v>
      </c>
    </row>
    <row r="851" spans="1:7" x14ac:dyDescent="0.2">
      <c r="A851" s="40">
        <v>4131</v>
      </c>
      <c r="B851" s="39" t="s">
        <v>665</v>
      </c>
      <c r="C851" s="40" t="s">
        <v>520</v>
      </c>
      <c r="D851" s="74" t="s">
        <v>1269</v>
      </c>
      <c r="E851" s="74" t="s">
        <v>1266</v>
      </c>
      <c r="F851" s="74" t="s">
        <v>1268</v>
      </c>
      <c r="G851" s="74" t="s">
        <v>1267</v>
      </c>
    </row>
    <row r="852" spans="1:7" x14ac:dyDescent="0.2">
      <c r="A852" s="40">
        <v>4132</v>
      </c>
      <c r="B852" s="39" t="s">
        <v>1624</v>
      </c>
      <c r="C852" s="40" t="s">
        <v>520</v>
      </c>
      <c r="D852" s="74" t="s">
        <v>1269</v>
      </c>
      <c r="E852" s="74" t="s">
        <v>1266</v>
      </c>
      <c r="F852" s="74" t="s">
        <v>1268</v>
      </c>
      <c r="G852" s="74" t="s">
        <v>1268</v>
      </c>
    </row>
    <row r="853" spans="1:7" x14ac:dyDescent="0.2">
      <c r="A853" s="40">
        <v>4133</v>
      </c>
      <c r="B853" s="39" t="s">
        <v>1625</v>
      </c>
      <c r="C853" s="40" t="s">
        <v>520</v>
      </c>
      <c r="D853" s="74" t="s">
        <v>1269</v>
      </c>
      <c r="E853" s="74" t="s">
        <v>1266</v>
      </c>
      <c r="F853" s="74" t="s">
        <v>1268</v>
      </c>
      <c r="G853" s="74" t="s">
        <v>1267</v>
      </c>
    </row>
    <row r="854" spans="1:7" x14ac:dyDescent="0.2">
      <c r="A854" s="40">
        <v>4134</v>
      </c>
      <c r="B854" s="39" t="s">
        <v>1626</v>
      </c>
      <c r="C854" s="40" t="s">
        <v>520</v>
      </c>
      <c r="D854" s="74" t="s">
        <v>1269</v>
      </c>
      <c r="E854" s="74" t="s">
        <v>1266</v>
      </c>
      <c r="F854" s="74" t="s">
        <v>1268</v>
      </c>
      <c r="G854" s="74" t="s">
        <v>1267</v>
      </c>
    </row>
    <row r="855" spans="1:7" x14ac:dyDescent="0.2">
      <c r="A855" s="40">
        <v>4141</v>
      </c>
      <c r="B855" s="39" t="s">
        <v>1627</v>
      </c>
      <c r="C855" s="40" t="s">
        <v>520</v>
      </c>
      <c r="D855" s="74" t="s">
        <v>1269</v>
      </c>
      <c r="E855" s="74" t="s">
        <v>1266</v>
      </c>
      <c r="F855" s="74" t="s">
        <v>1268</v>
      </c>
      <c r="G855" s="74" t="s">
        <v>1267</v>
      </c>
    </row>
    <row r="856" spans="1:7" x14ac:dyDescent="0.2">
      <c r="A856" s="40">
        <v>4142</v>
      </c>
      <c r="B856" s="39" t="s">
        <v>1628</v>
      </c>
      <c r="C856" s="40" t="s">
        <v>520</v>
      </c>
      <c r="D856" s="74" t="s">
        <v>1269</v>
      </c>
      <c r="E856" s="74" t="s">
        <v>1266</v>
      </c>
      <c r="F856" s="74" t="s">
        <v>1268</v>
      </c>
      <c r="G856" s="74" t="s">
        <v>1268</v>
      </c>
    </row>
    <row r="857" spans="1:7" x14ac:dyDescent="0.2">
      <c r="A857" s="40">
        <v>4143</v>
      </c>
      <c r="B857" s="39" t="s">
        <v>1629</v>
      </c>
      <c r="C857" s="40" t="s">
        <v>520</v>
      </c>
      <c r="D857" s="74" t="s">
        <v>1269</v>
      </c>
      <c r="E857" s="74" t="s">
        <v>1266</v>
      </c>
      <c r="F857" s="74" t="s">
        <v>1268</v>
      </c>
      <c r="G857" s="74" t="s">
        <v>1268</v>
      </c>
    </row>
    <row r="858" spans="1:7" x14ac:dyDescent="0.2">
      <c r="A858" s="40">
        <v>4144</v>
      </c>
      <c r="B858" s="39" t="s">
        <v>1630</v>
      </c>
      <c r="C858" s="40" t="s">
        <v>520</v>
      </c>
      <c r="D858" s="74" t="s">
        <v>1269</v>
      </c>
      <c r="E858" s="74" t="s">
        <v>1266</v>
      </c>
      <c r="F858" s="74" t="s">
        <v>1268</v>
      </c>
      <c r="G858" s="74" t="s">
        <v>1267</v>
      </c>
    </row>
    <row r="859" spans="1:7" x14ac:dyDescent="0.2">
      <c r="A859" s="40">
        <v>4150</v>
      </c>
      <c r="B859" s="39" t="s">
        <v>1631</v>
      </c>
      <c r="C859" s="40" t="s">
        <v>520</v>
      </c>
      <c r="D859" s="74" t="s">
        <v>1269</v>
      </c>
      <c r="E859" s="74" t="s">
        <v>1266</v>
      </c>
      <c r="F859" s="74" t="s">
        <v>1268</v>
      </c>
      <c r="G859" s="74" t="s">
        <v>1268</v>
      </c>
    </row>
    <row r="860" spans="1:7" x14ac:dyDescent="0.2">
      <c r="A860" s="40">
        <v>4152</v>
      </c>
      <c r="B860" s="39" t="s">
        <v>1632</v>
      </c>
      <c r="C860" s="40" t="s">
        <v>520</v>
      </c>
      <c r="D860" s="74" t="s">
        <v>1269</v>
      </c>
      <c r="E860" s="74" t="s">
        <v>1266</v>
      </c>
      <c r="F860" s="74" t="s">
        <v>1268</v>
      </c>
      <c r="G860" s="74" t="s">
        <v>1267</v>
      </c>
    </row>
    <row r="861" spans="1:7" x14ac:dyDescent="0.2">
      <c r="A861" s="40">
        <v>4153</v>
      </c>
      <c r="B861" s="39" t="s">
        <v>1633</v>
      </c>
      <c r="C861" s="40" t="s">
        <v>520</v>
      </c>
      <c r="D861" s="74" t="s">
        <v>1269</v>
      </c>
      <c r="E861" s="74" t="s">
        <v>1266</v>
      </c>
      <c r="F861" s="74" t="s">
        <v>1268</v>
      </c>
      <c r="G861" s="74" t="s">
        <v>1268</v>
      </c>
    </row>
    <row r="862" spans="1:7" x14ac:dyDescent="0.2">
      <c r="A862" s="40">
        <v>4154</v>
      </c>
      <c r="B862" s="39" t="s">
        <v>1634</v>
      </c>
      <c r="C862" s="40" t="s">
        <v>520</v>
      </c>
      <c r="D862" s="74" t="s">
        <v>1269</v>
      </c>
      <c r="E862" s="74" t="s">
        <v>1266</v>
      </c>
      <c r="F862" s="74" t="s">
        <v>1268</v>
      </c>
      <c r="G862" s="74" t="s">
        <v>1267</v>
      </c>
    </row>
    <row r="863" spans="1:7" x14ac:dyDescent="0.2">
      <c r="A863" s="40">
        <v>4160</v>
      </c>
      <c r="B863" s="39" t="s">
        <v>1635</v>
      </c>
      <c r="C863" s="40" t="s">
        <v>520</v>
      </c>
      <c r="D863" s="74" t="s">
        <v>1269</v>
      </c>
      <c r="E863" s="74" t="s">
        <v>1266</v>
      </c>
      <c r="F863" s="74" t="s">
        <v>1268</v>
      </c>
      <c r="G863" s="74" t="s">
        <v>1268</v>
      </c>
    </row>
    <row r="864" spans="1:7" x14ac:dyDescent="0.2">
      <c r="A864" s="40">
        <v>4161</v>
      </c>
      <c r="B864" s="39" t="s">
        <v>1636</v>
      </c>
      <c r="C864" s="40" t="s">
        <v>520</v>
      </c>
      <c r="D864" s="74" t="s">
        <v>1269</v>
      </c>
      <c r="E864" s="74" t="s">
        <v>1266</v>
      </c>
      <c r="F864" s="74" t="s">
        <v>1268</v>
      </c>
      <c r="G864" s="74" t="s">
        <v>1268</v>
      </c>
    </row>
    <row r="865" spans="1:7" x14ac:dyDescent="0.2">
      <c r="A865" s="40">
        <v>4162</v>
      </c>
      <c r="B865" s="39" t="s">
        <v>1637</v>
      </c>
      <c r="C865" s="40" t="s">
        <v>520</v>
      </c>
      <c r="D865" s="74" t="s">
        <v>1269</v>
      </c>
      <c r="E865" s="74" t="s">
        <v>1266</v>
      </c>
      <c r="F865" s="74" t="s">
        <v>1268</v>
      </c>
      <c r="G865" s="74" t="s">
        <v>1267</v>
      </c>
    </row>
    <row r="866" spans="1:7" x14ac:dyDescent="0.2">
      <c r="A866" s="40">
        <v>4163</v>
      </c>
      <c r="B866" s="39" t="s">
        <v>1638</v>
      </c>
      <c r="C866" s="40" t="s">
        <v>520</v>
      </c>
      <c r="D866" s="74" t="s">
        <v>1269</v>
      </c>
      <c r="E866" s="74" t="s">
        <v>1266</v>
      </c>
      <c r="F866" s="74" t="s">
        <v>1268</v>
      </c>
      <c r="G866" s="74" t="s">
        <v>1267</v>
      </c>
    </row>
    <row r="867" spans="1:7" x14ac:dyDescent="0.2">
      <c r="A867" s="40">
        <v>4164</v>
      </c>
      <c r="B867" s="39" t="s">
        <v>1639</v>
      </c>
      <c r="C867" s="40" t="s">
        <v>520</v>
      </c>
      <c r="D867" s="74" t="s">
        <v>1269</v>
      </c>
      <c r="E867" s="74" t="s">
        <v>1266</v>
      </c>
      <c r="F867" s="74" t="s">
        <v>1268</v>
      </c>
      <c r="G867" s="74" t="s">
        <v>1267</v>
      </c>
    </row>
    <row r="868" spans="1:7" x14ac:dyDescent="0.2">
      <c r="A868" s="40">
        <v>4170</v>
      </c>
      <c r="B868" s="39" t="s">
        <v>1640</v>
      </c>
      <c r="C868" s="40" t="s">
        <v>520</v>
      </c>
      <c r="D868" s="74" t="s">
        <v>1269</v>
      </c>
      <c r="E868" s="74" t="s">
        <v>1266</v>
      </c>
      <c r="F868" s="74" t="s">
        <v>1268</v>
      </c>
      <c r="G868" s="74" t="s">
        <v>1268</v>
      </c>
    </row>
    <row r="869" spans="1:7" x14ac:dyDescent="0.2">
      <c r="A869" s="40">
        <v>4171</v>
      </c>
      <c r="B869" s="39" t="s">
        <v>1641</v>
      </c>
      <c r="C869" s="40" t="s">
        <v>520</v>
      </c>
      <c r="D869" s="74" t="s">
        <v>1269</v>
      </c>
      <c r="E869" s="74" t="s">
        <v>1266</v>
      </c>
      <c r="F869" s="74" t="s">
        <v>1268</v>
      </c>
      <c r="G869" s="74" t="s">
        <v>1268</v>
      </c>
    </row>
    <row r="870" spans="1:7" x14ac:dyDescent="0.2">
      <c r="A870" s="40">
        <v>4172</v>
      </c>
      <c r="B870" s="39" t="s">
        <v>1643</v>
      </c>
      <c r="C870" s="40" t="s">
        <v>520</v>
      </c>
      <c r="D870" s="74" t="s">
        <v>1269</v>
      </c>
      <c r="E870" s="74" t="s">
        <v>1266</v>
      </c>
      <c r="F870" s="74" t="s">
        <v>1268</v>
      </c>
      <c r="G870" s="74" t="s">
        <v>1267</v>
      </c>
    </row>
    <row r="871" spans="1:7" x14ac:dyDescent="0.2">
      <c r="A871" s="40">
        <v>4173</v>
      </c>
      <c r="B871" s="39" t="s">
        <v>1644</v>
      </c>
      <c r="C871" s="40" t="s">
        <v>520</v>
      </c>
      <c r="D871" s="74" t="s">
        <v>1269</v>
      </c>
      <c r="E871" s="74" t="s">
        <v>1266</v>
      </c>
      <c r="F871" s="74" t="s">
        <v>1268</v>
      </c>
      <c r="G871" s="74" t="s">
        <v>1267</v>
      </c>
    </row>
    <row r="872" spans="1:7" x14ac:dyDescent="0.2">
      <c r="A872" s="40">
        <v>4174</v>
      </c>
      <c r="B872" s="39" t="s">
        <v>1645</v>
      </c>
      <c r="C872" s="40" t="s">
        <v>520</v>
      </c>
      <c r="D872" s="74" t="s">
        <v>1269</v>
      </c>
      <c r="E872" s="74" t="s">
        <v>1266</v>
      </c>
      <c r="F872" s="74" t="s">
        <v>1268</v>
      </c>
      <c r="G872" s="74" t="s">
        <v>1267</v>
      </c>
    </row>
    <row r="873" spans="1:7" x14ac:dyDescent="0.2">
      <c r="A873" s="40">
        <v>4175</v>
      </c>
      <c r="B873" s="39" t="s">
        <v>1646</v>
      </c>
      <c r="C873" s="40" t="s">
        <v>520</v>
      </c>
      <c r="D873" s="74" t="s">
        <v>1269</v>
      </c>
      <c r="E873" s="74" t="s">
        <v>1266</v>
      </c>
      <c r="F873" s="74" t="s">
        <v>1268</v>
      </c>
      <c r="G873" s="74" t="s">
        <v>1268</v>
      </c>
    </row>
    <row r="874" spans="1:7" x14ac:dyDescent="0.2">
      <c r="A874" s="40">
        <v>4180</v>
      </c>
      <c r="B874" s="39" t="s">
        <v>1647</v>
      </c>
      <c r="C874" s="40" t="s">
        <v>520</v>
      </c>
      <c r="D874" s="74" t="s">
        <v>1269</v>
      </c>
      <c r="E874" s="74" t="s">
        <v>1266</v>
      </c>
      <c r="F874" s="74" t="s">
        <v>1268</v>
      </c>
      <c r="G874" s="74" t="s">
        <v>1268</v>
      </c>
    </row>
    <row r="875" spans="1:7" x14ac:dyDescent="0.2">
      <c r="A875" s="40">
        <v>4181</v>
      </c>
      <c r="B875" s="39" t="s">
        <v>1648</v>
      </c>
      <c r="C875" s="40" t="s">
        <v>520</v>
      </c>
      <c r="D875" s="74" t="s">
        <v>1269</v>
      </c>
      <c r="E875" s="74" t="s">
        <v>1266</v>
      </c>
      <c r="F875" s="74" t="s">
        <v>1268</v>
      </c>
      <c r="G875" s="74" t="s">
        <v>1268</v>
      </c>
    </row>
    <row r="876" spans="1:7" x14ac:dyDescent="0.2">
      <c r="A876" s="40">
        <v>4182</v>
      </c>
      <c r="B876" s="39" t="s">
        <v>1649</v>
      </c>
      <c r="C876" s="40" t="s">
        <v>520</v>
      </c>
      <c r="D876" s="74" t="s">
        <v>1269</v>
      </c>
      <c r="E876" s="74" t="s">
        <v>1266</v>
      </c>
      <c r="F876" s="74" t="s">
        <v>1268</v>
      </c>
      <c r="G876" s="74" t="s">
        <v>1267</v>
      </c>
    </row>
    <row r="877" spans="1:7" x14ac:dyDescent="0.2">
      <c r="A877" s="40">
        <v>4183</v>
      </c>
      <c r="B877" s="39" t="s">
        <v>1650</v>
      </c>
      <c r="C877" s="40" t="s">
        <v>520</v>
      </c>
      <c r="D877" s="74" t="s">
        <v>1269</v>
      </c>
      <c r="E877" s="74" t="s">
        <v>1266</v>
      </c>
      <c r="F877" s="74" t="s">
        <v>1268</v>
      </c>
      <c r="G877" s="74" t="s">
        <v>1267</v>
      </c>
    </row>
    <row r="878" spans="1:7" x14ac:dyDescent="0.2">
      <c r="A878" s="40">
        <v>4184</v>
      </c>
      <c r="B878" s="39" t="s">
        <v>1651</v>
      </c>
      <c r="C878" s="40" t="s">
        <v>520</v>
      </c>
      <c r="D878" s="74" t="s">
        <v>1269</v>
      </c>
      <c r="E878" s="74" t="s">
        <v>1266</v>
      </c>
      <c r="F878" s="74" t="s">
        <v>1268</v>
      </c>
      <c r="G878" s="74" t="s">
        <v>1267</v>
      </c>
    </row>
    <row r="879" spans="1:7" x14ac:dyDescent="0.2">
      <c r="A879" s="40">
        <v>4190</v>
      </c>
      <c r="B879" s="39" t="s">
        <v>1652</v>
      </c>
      <c r="C879" s="40" t="s">
        <v>520</v>
      </c>
      <c r="D879" s="74" t="s">
        <v>1269</v>
      </c>
      <c r="E879" s="74" t="s">
        <v>1266</v>
      </c>
      <c r="F879" s="74" t="s">
        <v>1268</v>
      </c>
      <c r="G879" s="74" t="s">
        <v>1268</v>
      </c>
    </row>
    <row r="880" spans="1:7" x14ac:dyDescent="0.2">
      <c r="A880" s="40">
        <v>4191</v>
      </c>
      <c r="B880" s="39" t="s">
        <v>1653</v>
      </c>
      <c r="C880" s="40" t="s">
        <v>520</v>
      </c>
      <c r="D880" s="74" t="s">
        <v>1269</v>
      </c>
      <c r="E880" s="74" t="s">
        <v>1266</v>
      </c>
      <c r="F880" s="74" t="s">
        <v>1268</v>
      </c>
      <c r="G880" s="74" t="s">
        <v>1267</v>
      </c>
    </row>
    <row r="881" spans="1:7" x14ac:dyDescent="0.2">
      <c r="A881" s="40">
        <v>4192</v>
      </c>
      <c r="B881" s="39" t="s">
        <v>1659</v>
      </c>
      <c r="C881" s="40" t="s">
        <v>520</v>
      </c>
      <c r="D881" s="74" t="s">
        <v>1269</v>
      </c>
      <c r="E881" s="74" t="s">
        <v>1266</v>
      </c>
      <c r="F881" s="74" t="s">
        <v>1268</v>
      </c>
      <c r="G881" s="74" t="s">
        <v>1268</v>
      </c>
    </row>
    <row r="882" spans="1:7" x14ac:dyDescent="0.2">
      <c r="A882" s="40">
        <v>4193</v>
      </c>
      <c r="B882" s="39" t="s">
        <v>1660</v>
      </c>
      <c r="C882" s="40" t="s">
        <v>520</v>
      </c>
      <c r="D882" s="74" t="s">
        <v>1269</v>
      </c>
      <c r="E882" s="74" t="s">
        <v>1266</v>
      </c>
      <c r="F882" s="74" t="s">
        <v>1268</v>
      </c>
      <c r="G882" s="74" t="s">
        <v>1268</v>
      </c>
    </row>
    <row r="883" spans="1:7" x14ac:dyDescent="0.2">
      <c r="A883" s="40">
        <v>4201</v>
      </c>
      <c r="B883" s="39" t="s">
        <v>1661</v>
      </c>
      <c r="C883" s="40" t="s">
        <v>520</v>
      </c>
      <c r="D883" s="74" t="s">
        <v>1269</v>
      </c>
      <c r="E883" s="74" t="s">
        <v>1266</v>
      </c>
      <c r="F883" s="74" t="s">
        <v>1268</v>
      </c>
      <c r="G883" s="74" t="s">
        <v>1268</v>
      </c>
    </row>
    <row r="884" spans="1:7" x14ac:dyDescent="0.2">
      <c r="A884" s="40">
        <v>4202</v>
      </c>
      <c r="B884" s="39" t="s">
        <v>1662</v>
      </c>
      <c r="C884" s="40" t="s">
        <v>520</v>
      </c>
      <c r="D884" s="74" t="s">
        <v>1269</v>
      </c>
      <c r="E884" s="74" t="s">
        <v>1266</v>
      </c>
      <c r="F884" s="74" t="s">
        <v>1268</v>
      </c>
      <c r="G884" s="74" t="s">
        <v>1268</v>
      </c>
    </row>
    <row r="885" spans="1:7" x14ac:dyDescent="0.2">
      <c r="A885" s="40">
        <v>4203</v>
      </c>
      <c r="B885" s="39" t="s">
        <v>1663</v>
      </c>
      <c r="C885" s="40" t="s">
        <v>520</v>
      </c>
      <c r="D885" s="74" t="s">
        <v>1269</v>
      </c>
      <c r="E885" s="74" t="s">
        <v>1266</v>
      </c>
      <c r="F885" s="74" t="s">
        <v>1268</v>
      </c>
      <c r="G885" s="74" t="s">
        <v>1268</v>
      </c>
    </row>
    <row r="886" spans="1:7" x14ac:dyDescent="0.2">
      <c r="A886" s="40">
        <v>4204</v>
      </c>
      <c r="B886" s="39" t="s">
        <v>1664</v>
      </c>
      <c r="C886" s="40" t="s">
        <v>520</v>
      </c>
      <c r="D886" s="74" t="s">
        <v>1269</v>
      </c>
      <c r="E886" s="74" t="s">
        <v>1266</v>
      </c>
      <c r="F886" s="74" t="s">
        <v>1268</v>
      </c>
      <c r="G886" s="74" t="s">
        <v>1267</v>
      </c>
    </row>
    <row r="887" spans="1:7" x14ac:dyDescent="0.2">
      <c r="A887" s="40">
        <v>4209</v>
      </c>
      <c r="B887" s="39" t="s">
        <v>1665</v>
      </c>
      <c r="C887" s="40" t="s">
        <v>520</v>
      </c>
      <c r="D887" s="74" t="s">
        <v>1269</v>
      </c>
      <c r="E887" s="74" t="s">
        <v>1266</v>
      </c>
      <c r="F887" s="74" t="s">
        <v>1268</v>
      </c>
      <c r="G887" s="74" t="s">
        <v>1267</v>
      </c>
    </row>
    <row r="888" spans="1:7" x14ac:dyDescent="0.2">
      <c r="A888" s="40">
        <v>4210</v>
      </c>
      <c r="B888" s="39" t="s">
        <v>1666</v>
      </c>
      <c r="C888" s="40" t="s">
        <v>520</v>
      </c>
      <c r="D888" s="74" t="s">
        <v>1269</v>
      </c>
      <c r="E888" s="74" t="s">
        <v>1266</v>
      </c>
      <c r="F888" s="74" t="s">
        <v>1268</v>
      </c>
      <c r="G888" s="74" t="s">
        <v>1268</v>
      </c>
    </row>
    <row r="889" spans="1:7" x14ac:dyDescent="0.2">
      <c r="A889" s="40">
        <v>4211</v>
      </c>
      <c r="B889" s="39" t="s">
        <v>1667</v>
      </c>
      <c r="C889" s="40" t="s">
        <v>520</v>
      </c>
      <c r="D889" s="74" t="s">
        <v>1269</v>
      </c>
      <c r="E889" s="74" t="s">
        <v>1266</v>
      </c>
      <c r="F889" s="74" t="s">
        <v>1268</v>
      </c>
      <c r="G889" s="74" t="s">
        <v>1268</v>
      </c>
    </row>
    <row r="890" spans="1:7" x14ac:dyDescent="0.2">
      <c r="A890" s="40">
        <v>4212</v>
      </c>
      <c r="B890" s="39" t="s">
        <v>1668</v>
      </c>
      <c r="C890" s="40" t="s">
        <v>520</v>
      </c>
      <c r="D890" s="74" t="s">
        <v>1269</v>
      </c>
      <c r="E890" s="74" t="s">
        <v>1266</v>
      </c>
      <c r="F890" s="74" t="s">
        <v>1268</v>
      </c>
      <c r="G890" s="74" t="s">
        <v>1268</v>
      </c>
    </row>
    <row r="891" spans="1:7" x14ac:dyDescent="0.2">
      <c r="A891" s="40">
        <v>4221</v>
      </c>
      <c r="B891" s="39" t="s">
        <v>1669</v>
      </c>
      <c r="C891" s="40" t="s">
        <v>520</v>
      </c>
      <c r="D891" s="74" t="s">
        <v>1269</v>
      </c>
      <c r="E891" s="74" t="s">
        <v>1266</v>
      </c>
      <c r="F891" s="74" t="s">
        <v>1268</v>
      </c>
      <c r="G891" s="74" t="s">
        <v>1268</v>
      </c>
    </row>
    <row r="892" spans="1:7" x14ac:dyDescent="0.2">
      <c r="A892" s="40">
        <v>4222</v>
      </c>
      <c r="B892" s="39" t="s">
        <v>1670</v>
      </c>
      <c r="C892" s="40" t="s">
        <v>520</v>
      </c>
      <c r="D892" s="74" t="s">
        <v>1269</v>
      </c>
      <c r="E892" s="74" t="s">
        <v>1266</v>
      </c>
      <c r="F892" s="74" t="s">
        <v>1268</v>
      </c>
      <c r="G892" s="74" t="s">
        <v>1268</v>
      </c>
    </row>
    <row r="893" spans="1:7" x14ac:dyDescent="0.2">
      <c r="A893" s="40">
        <v>4223</v>
      </c>
      <c r="B893" s="39" t="s">
        <v>1671</v>
      </c>
      <c r="C893" s="40" t="s">
        <v>520</v>
      </c>
      <c r="D893" s="74" t="s">
        <v>1269</v>
      </c>
      <c r="E893" s="74" t="s">
        <v>1266</v>
      </c>
      <c r="F893" s="74" t="s">
        <v>1268</v>
      </c>
      <c r="G893" s="74" t="s">
        <v>1268</v>
      </c>
    </row>
    <row r="894" spans="1:7" x14ac:dyDescent="0.2">
      <c r="A894" s="40">
        <v>4224</v>
      </c>
      <c r="B894" s="39" t="s">
        <v>1672</v>
      </c>
      <c r="C894" s="40" t="s">
        <v>520</v>
      </c>
      <c r="D894" s="74" t="s">
        <v>1269</v>
      </c>
      <c r="E894" s="74" t="s">
        <v>1266</v>
      </c>
      <c r="F894" s="74" t="s">
        <v>1268</v>
      </c>
      <c r="G894" s="74" t="s">
        <v>1268</v>
      </c>
    </row>
    <row r="895" spans="1:7" x14ac:dyDescent="0.2">
      <c r="A895" s="40">
        <v>4230</v>
      </c>
      <c r="B895" s="39" t="s">
        <v>1673</v>
      </c>
      <c r="C895" s="40" t="s">
        <v>520</v>
      </c>
      <c r="D895" s="74" t="s">
        <v>1269</v>
      </c>
      <c r="E895" s="74" t="s">
        <v>1266</v>
      </c>
      <c r="F895" s="74" t="s">
        <v>1268</v>
      </c>
      <c r="G895" s="74" t="s">
        <v>1268</v>
      </c>
    </row>
    <row r="896" spans="1:7" x14ac:dyDescent="0.2">
      <c r="A896" s="40">
        <v>4231</v>
      </c>
      <c r="B896" s="39" t="s">
        <v>1674</v>
      </c>
      <c r="C896" s="40" t="s">
        <v>520</v>
      </c>
      <c r="D896" s="74" t="s">
        <v>1269</v>
      </c>
      <c r="E896" s="74" t="s">
        <v>1266</v>
      </c>
      <c r="F896" s="74" t="s">
        <v>1268</v>
      </c>
      <c r="G896" s="74" t="s">
        <v>1267</v>
      </c>
    </row>
    <row r="897" spans="1:7" x14ac:dyDescent="0.2">
      <c r="A897" s="40">
        <v>4232</v>
      </c>
      <c r="B897" s="39" t="s">
        <v>1675</v>
      </c>
      <c r="C897" s="40" t="s">
        <v>520</v>
      </c>
      <c r="D897" s="74" t="s">
        <v>1269</v>
      </c>
      <c r="E897" s="74" t="s">
        <v>1266</v>
      </c>
      <c r="F897" s="74" t="s">
        <v>1268</v>
      </c>
      <c r="G897" s="74" t="s">
        <v>1268</v>
      </c>
    </row>
    <row r="898" spans="1:7" x14ac:dyDescent="0.2">
      <c r="A898" s="40">
        <v>4240</v>
      </c>
      <c r="B898" s="39" t="s">
        <v>1676</v>
      </c>
      <c r="C898" s="40" t="s">
        <v>520</v>
      </c>
      <c r="D898" s="74" t="s">
        <v>1269</v>
      </c>
      <c r="E898" s="74" t="s">
        <v>1266</v>
      </c>
      <c r="F898" s="74" t="s">
        <v>1268</v>
      </c>
      <c r="G898" s="74" t="s">
        <v>1268</v>
      </c>
    </row>
    <row r="899" spans="1:7" x14ac:dyDescent="0.2">
      <c r="A899" s="40">
        <v>4242</v>
      </c>
      <c r="B899" s="39" t="s">
        <v>1677</v>
      </c>
      <c r="C899" s="40" t="s">
        <v>520</v>
      </c>
      <c r="D899" s="74" t="s">
        <v>1269</v>
      </c>
      <c r="E899" s="74" t="s">
        <v>1266</v>
      </c>
      <c r="F899" s="74" t="s">
        <v>1268</v>
      </c>
      <c r="G899" s="74" t="s">
        <v>1268</v>
      </c>
    </row>
    <row r="900" spans="1:7" x14ac:dyDescent="0.2">
      <c r="A900" s="40">
        <v>4251</v>
      </c>
      <c r="B900" s="39" t="s">
        <v>1678</v>
      </c>
      <c r="C900" s="40" t="s">
        <v>520</v>
      </c>
      <c r="D900" s="74" t="s">
        <v>1269</v>
      </c>
      <c r="E900" s="74" t="s">
        <v>1266</v>
      </c>
      <c r="F900" s="74" t="s">
        <v>1268</v>
      </c>
      <c r="G900" s="74" t="s">
        <v>1268</v>
      </c>
    </row>
    <row r="901" spans="1:7" x14ac:dyDescent="0.2">
      <c r="A901" s="40">
        <v>4252</v>
      </c>
      <c r="B901" s="39" t="s">
        <v>1679</v>
      </c>
      <c r="C901" s="40" t="s">
        <v>520</v>
      </c>
      <c r="D901" s="74" t="s">
        <v>1269</v>
      </c>
      <c r="E901" s="74" t="s">
        <v>1266</v>
      </c>
      <c r="F901" s="74" t="s">
        <v>1268</v>
      </c>
      <c r="G901" s="74" t="s">
        <v>1267</v>
      </c>
    </row>
    <row r="902" spans="1:7" x14ac:dyDescent="0.2">
      <c r="A902" s="40">
        <v>4261</v>
      </c>
      <c r="B902" s="39" t="s">
        <v>1680</v>
      </c>
      <c r="C902" s="40" t="s">
        <v>520</v>
      </c>
      <c r="D902" s="74" t="s">
        <v>1269</v>
      </c>
      <c r="E902" s="74" t="s">
        <v>1266</v>
      </c>
      <c r="F902" s="74" t="s">
        <v>1268</v>
      </c>
      <c r="G902" s="74" t="s">
        <v>1268</v>
      </c>
    </row>
    <row r="903" spans="1:7" x14ac:dyDescent="0.2">
      <c r="A903" s="40">
        <v>4262</v>
      </c>
      <c r="B903" s="39" t="s">
        <v>1681</v>
      </c>
      <c r="C903" s="40" t="s">
        <v>520</v>
      </c>
      <c r="D903" s="74" t="s">
        <v>1269</v>
      </c>
      <c r="E903" s="74" t="s">
        <v>1266</v>
      </c>
      <c r="F903" s="74" t="s">
        <v>1268</v>
      </c>
      <c r="G903" s="74" t="s">
        <v>1267</v>
      </c>
    </row>
    <row r="904" spans="1:7" x14ac:dyDescent="0.2">
      <c r="A904" s="40">
        <v>4263</v>
      </c>
      <c r="B904" s="39" t="s">
        <v>1682</v>
      </c>
      <c r="C904" s="40" t="s">
        <v>520</v>
      </c>
      <c r="D904" s="74" t="s">
        <v>1269</v>
      </c>
      <c r="E904" s="74" t="s">
        <v>1266</v>
      </c>
      <c r="F904" s="74" t="s">
        <v>1268</v>
      </c>
      <c r="G904" s="74" t="s">
        <v>1268</v>
      </c>
    </row>
    <row r="905" spans="1:7" x14ac:dyDescent="0.2">
      <c r="A905" s="40">
        <v>4264</v>
      </c>
      <c r="B905" s="39" t="s">
        <v>1683</v>
      </c>
      <c r="C905" s="40" t="s">
        <v>520</v>
      </c>
      <c r="D905" s="74" t="s">
        <v>1269</v>
      </c>
      <c r="E905" s="74" t="s">
        <v>1266</v>
      </c>
      <c r="F905" s="74" t="s">
        <v>1268</v>
      </c>
      <c r="G905" s="74" t="s">
        <v>1267</v>
      </c>
    </row>
    <row r="906" spans="1:7" x14ac:dyDescent="0.2">
      <c r="A906" s="40">
        <v>4271</v>
      </c>
      <c r="B906" s="39" t="s">
        <v>1684</v>
      </c>
      <c r="C906" s="40" t="s">
        <v>520</v>
      </c>
      <c r="D906" s="74" t="s">
        <v>1269</v>
      </c>
      <c r="E906" s="74" t="s">
        <v>1266</v>
      </c>
      <c r="F906" s="74" t="s">
        <v>1268</v>
      </c>
      <c r="G906" s="74" t="s">
        <v>1267</v>
      </c>
    </row>
    <row r="907" spans="1:7" x14ac:dyDescent="0.2">
      <c r="A907" s="40">
        <v>4272</v>
      </c>
      <c r="B907" s="39" t="s">
        <v>1685</v>
      </c>
      <c r="C907" s="40" t="s">
        <v>520</v>
      </c>
      <c r="D907" s="74" t="s">
        <v>1269</v>
      </c>
      <c r="E907" s="74" t="s">
        <v>1266</v>
      </c>
      <c r="F907" s="74" t="s">
        <v>1268</v>
      </c>
      <c r="G907" s="74" t="s">
        <v>1267</v>
      </c>
    </row>
    <row r="908" spans="1:7" x14ac:dyDescent="0.2">
      <c r="A908" s="40">
        <v>4273</v>
      </c>
      <c r="B908" s="39" t="s">
        <v>1686</v>
      </c>
      <c r="C908" s="40" t="s">
        <v>520</v>
      </c>
      <c r="D908" s="74" t="s">
        <v>1269</v>
      </c>
      <c r="E908" s="74" t="s">
        <v>1266</v>
      </c>
      <c r="F908" s="74" t="s">
        <v>1268</v>
      </c>
      <c r="G908" s="74" t="s">
        <v>1268</v>
      </c>
    </row>
    <row r="909" spans="1:7" x14ac:dyDescent="0.2">
      <c r="A909" s="40">
        <v>4274</v>
      </c>
      <c r="B909" s="39" t="s">
        <v>1687</v>
      </c>
      <c r="C909" s="40" t="s">
        <v>520</v>
      </c>
      <c r="D909" s="74" t="s">
        <v>1269</v>
      </c>
      <c r="E909" s="74" t="s">
        <v>1266</v>
      </c>
      <c r="F909" s="74" t="s">
        <v>1268</v>
      </c>
      <c r="G909" s="74" t="s">
        <v>1267</v>
      </c>
    </row>
    <row r="910" spans="1:7" x14ac:dyDescent="0.2">
      <c r="A910" s="40">
        <v>4280</v>
      </c>
      <c r="B910" s="39" t="s">
        <v>1688</v>
      </c>
      <c r="C910" s="40" t="s">
        <v>520</v>
      </c>
      <c r="D910" s="74" t="s">
        <v>1269</v>
      </c>
      <c r="E910" s="74" t="s">
        <v>1266</v>
      </c>
      <c r="F910" s="74" t="s">
        <v>1268</v>
      </c>
      <c r="G910" s="74" t="s">
        <v>1268</v>
      </c>
    </row>
    <row r="911" spans="1:7" x14ac:dyDescent="0.2">
      <c r="A911" s="40">
        <v>4281</v>
      </c>
      <c r="B911" s="39" t="s">
        <v>1689</v>
      </c>
      <c r="C911" s="40" t="s">
        <v>520</v>
      </c>
      <c r="D911" s="74" t="s">
        <v>1269</v>
      </c>
      <c r="E911" s="74" t="s">
        <v>1266</v>
      </c>
      <c r="F911" s="74" t="s">
        <v>1268</v>
      </c>
      <c r="G911" s="74" t="s">
        <v>1267</v>
      </c>
    </row>
    <row r="912" spans="1:7" x14ac:dyDescent="0.2">
      <c r="A912" s="40">
        <v>4282</v>
      </c>
      <c r="B912" s="39" t="s">
        <v>1690</v>
      </c>
      <c r="C912" s="40" t="s">
        <v>520</v>
      </c>
      <c r="D912" s="74" t="s">
        <v>1269</v>
      </c>
      <c r="E912" s="74" t="s">
        <v>1266</v>
      </c>
      <c r="F912" s="74" t="s">
        <v>1268</v>
      </c>
      <c r="G912" s="74" t="s">
        <v>1267</v>
      </c>
    </row>
    <row r="913" spans="1:7" x14ac:dyDescent="0.2">
      <c r="A913" s="40">
        <v>4283</v>
      </c>
      <c r="B913" s="39" t="s">
        <v>1691</v>
      </c>
      <c r="C913" s="40" t="s">
        <v>520</v>
      </c>
      <c r="D913" s="74" t="s">
        <v>1269</v>
      </c>
      <c r="E913" s="74" t="s">
        <v>1266</v>
      </c>
      <c r="F913" s="74" t="s">
        <v>1268</v>
      </c>
      <c r="G913" s="74" t="s">
        <v>1268</v>
      </c>
    </row>
    <row r="914" spans="1:7" x14ac:dyDescent="0.2">
      <c r="A914" s="40">
        <v>4284</v>
      </c>
      <c r="B914" s="39" t="s">
        <v>1692</v>
      </c>
      <c r="C914" s="40" t="s">
        <v>520</v>
      </c>
      <c r="D914" s="74" t="s">
        <v>1269</v>
      </c>
      <c r="E914" s="74" t="s">
        <v>1266</v>
      </c>
      <c r="F914" s="74" t="s">
        <v>1268</v>
      </c>
      <c r="G914" s="74" t="s">
        <v>1267</v>
      </c>
    </row>
    <row r="915" spans="1:7" x14ac:dyDescent="0.2">
      <c r="A915" s="40">
        <v>4291</v>
      </c>
      <c r="B915" s="39" t="s">
        <v>1693</v>
      </c>
      <c r="C915" s="40" t="s">
        <v>520</v>
      </c>
      <c r="D915" s="74" t="s">
        <v>1269</v>
      </c>
      <c r="E915" s="74" t="s">
        <v>1266</v>
      </c>
      <c r="F915" s="74" t="s">
        <v>1268</v>
      </c>
      <c r="G915" s="74" t="s">
        <v>1268</v>
      </c>
    </row>
    <row r="916" spans="1:7" x14ac:dyDescent="0.2">
      <c r="A916" s="40">
        <v>4292</v>
      </c>
      <c r="B916" s="39" t="s">
        <v>1694</v>
      </c>
      <c r="C916" s="40" t="s">
        <v>520</v>
      </c>
      <c r="D916" s="74" t="s">
        <v>1269</v>
      </c>
      <c r="E916" s="74" t="s">
        <v>1266</v>
      </c>
      <c r="F916" s="74" t="s">
        <v>1268</v>
      </c>
      <c r="G916" s="74" t="s">
        <v>1267</v>
      </c>
    </row>
    <row r="917" spans="1:7" x14ac:dyDescent="0.2">
      <c r="A917" s="40">
        <v>4293</v>
      </c>
      <c r="B917" s="39" t="s">
        <v>1695</v>
      </c>
      <c r="C917" s="40" t="s">
        <v>520</v>
      </c>
      <c r="D917" s="74" t="s">
        <v>1269</v>
      </c>
      <c r="E917" s="74" t="s">
        <v>1266</v>
      </c>
      <c r="F917" s="74" t="s">
        <v>1268</v>
      </c>
      <c r="G917" s="74" t="s">
        <v>1268</v>
      </c>
    </row>
    <row r="918" spans="1:7" x14ac:dyDescent="0.2">
      <c r="A918" s="40">
        <v>4294</v>
      </c>
      <c r="B918" s="39" t="s">
        <v>1696</v>
      </c>
      <c r="C918" s="40" t="s">
        <v>520</v>
      </c>
      <c r="D918" s="74" t="s">
        <v>1269</v>
      </c>
      <c r="E918" s="74" t="s">
        <v>1266</v>
      </c>
      <c r="F918" s="74" t="s">
        <v>1268</v>
      </c>
      <c r="G918" s="74" t="s">
        <v>1267</v>
      </c>
    </row>
    <row r="919" spans="1:7" x14ac:dyDescent="0.2">
      <c r="A919" s="40">
        <v>4300</v>
      </c>
      <c r="B919" s="39" t="s">
        <v>1697</v>
      </c>
      <c r="C919" s="40" t="s">
        <v>1281</v>
      </c>
      <c r="D919" s="74" t="s">
        <v>1269</v>
      </c>
      <c r="E919" s="74" t="s">
        <v>1266</v>
      </c>
      <c r="F919" s="74" t="s">
        <v>1268</v>
      </c>
      <c r="G919" s="74" t="s">
        <v>1268</v>
      </c>
    </row>
    <row r="920" spans="1:7" x14ac:dyDescent="0.2">
      <c r="A920" s="40">
        <v>4303</v>
      </c>
      <c r="B920" s="39" t="s">
        <v>1698</v>
      </c>
      <c r="C920" s="40" t="s">
        <v>1281</v>
      </c>
      <c r="D920" s="74" t="s">
        <v>1269</v>
      </c>
      <c r="E920" s="74" t="s">
        <v>1266</v>
      </c>
      <c r="F920" s="74" t="s">
        <v>1268</v>
      </c>
      <c r="G920" s="74" t="s">
        <v>1267</v>
      </c>
    </row>
    <row r="921" spans="1:7" x14ac:dyDescent="0.2">
      <c r="A921" s="40">
        <v>4310</v>
      </c>
      <c r="B921" s="39" t="s">
        <v>1699</v>
      </c>
      <c r="C921" s="40" t="s">
        <v>520</v>
      </c>
      <c r="D921" s="74" t="s">
        <v>1269</v>
      </c>
      <c r="E921" s="74" t="s">
        <v>1266</v>
      </c>
      <c r="F921" s="74" t="s">
        <v>1268</v>
      </c>
      <c r="G921" s="74" t="s">
        <v>1268</v>
      </c>
    </row>
    <row r="922" spans="1:7" x14ac:dyDescent="0.2">
      <c r="A922" s="40">
        <v>4311</v>
      </c>
      <c r="B922" s="39" t="s">
        <v>1700</v>
      </c>
      <c r="C922" s="40" t="s">
        <v>520</v>
      </c>
      <c r="D922" s="74" t="s">
        <v>1269</v>
      </c>
      <c r="E922" s="74" t="s">
        <v>1266</v>
      </c>
      <c r="F922" s="74" t="s">
        <v>1268</v>
      </c>
      <c r="G922" s="74" t="s">
        <v>1268</v>
      </c>
    </row>
    <row r="923" spans="1:7" x14ac:dyDescent="0.2">
      <c r="A923" s="40">
        <v>4312</v>
      </c>
      <c r="B923" s="39" t="s">
        <v>1701</v>
      </c>
      <c r="C923" s="40" t="s">
        <v>520</v>
      </c>
      <c r="D923" s="74" t="s">
        <v>1269</v>
      </c>
      <c r="E923" s="74" t="s">
        <v>1266</v>
      </c>
      <c r="F923" s="74" t="s">
        <v>1268</v>
      </c>
      <c r="G923" s="74" t="s">
        <v>1268</v>
      </c>
    </row>
    <row r="924" spans="1:7" x14ac:dyDescent="0.2">
      <c r="A924" s="40">
        <v>4320</v>
      </c>
      <c r="B924" s="39" t="s">
        <v>1702</v>
      </c>
      <c r="C924" s="40" t="s">
        <v>520</v>
      </c>
      <c r="D924" s="74" t="s">
        <v>1269</v>
      </c>
      <c r="E924" s="74" t="s">
        <v>1266</v>
      </c>
      <c r="F924" s="74" t="s">
        <v>1268</v>
      </c>
      <c r="G924" s="74" t="s">
        <v>1268</v>
      </c>
    </row>
    <row r="925" spans="1:7" x14ac:dyDescent="0.2">
      <c r="A925" s="40">
        <v>4322</v>
      </c>
      <c r="B925" s="39" t="s">
        <v>1703</v>
      </c>
      <c r="C925" s="40" t="s">
        <v>520</v>
      </c>
      <c r="D925" s="74" t="s">
        <v>1269</v>
      </c>
      <c r="E925" s="74" t="s">
        <v>1266</v>
      </c>
      <c r="F925" s="74" t="s">
        <v>1268</v>
      </c>
      <c r="G925" s="74" t="s">
        <v>1267</v>
      </c>
    </row>
    <row r="926" spans="1:7" x14ac:dyDescent="0.2">
      <c r="A926" s="40">
        <v>4323</v>
      </c>
      <c r="B926" s="39" t="s">
        <v>1704</v>
      </c>
      <c r="C926" s="40" t="s">
        <v>520</v>
      </c>
      <c r="D926" s="74" t="s">
        <v>1269</v>
      </c>
      <c r="E926" s="74" t="s">
        <v>1266</v>
      </c>
      <c r="F926" s="74" t="s">
        <v>1268</v>
      </c>
      <c r="G926" s="74" t="s">
        <v>1267</v>
      </c>
    </row>
    <row r="927" spans="1:7" x14ac:dyDescent="0.2">
      <c r="A927" s="40">
        <v>4324</v>
      </c>
      <c r="B927" s="39" t="s">
        <v>1705</v>
      </c>
      <c r="C927" s="40" t="s">
        <v>520</v>
      </c>
      <c r="D927" s="74" t="s">
        <v>1269</v>
      </c>
      <c r="E927" s="74" t="s">
        <v>1266</v>
      </c>
      <c r="F927" s="74" t="s">
        <v>1268</v>
      </c>
      <c r="G927" s="74" t="s">
        <v>1267</v>
      </c>
    </row>
    <row r="928" spans="1:7" x14ac:dyDescent="0.2">
      <c r="A928" s="40">
        <v>4331</v>
      </c>
      <c r="B928" s="39" t="s">
        <v>1706</v>
      </c>
      <c r="C928" s="40" t="s">
        <v>520</v>
      </c>
      <c r="D928" s="74" t="s">
        <v>1269</v>
      </c>
      <c r="E928" s="74" t="s">
        <v>1266</v>
      </c>
      <c r="F928" s="74" t="s">
        <v>1268</v>
      </c>
      <c r="G928" s="74" t="s">
        <v>1268</v>
      </c>
    </row>
    <row r="929" spans="1:7" x14ac:dyDescent="0.2">
      <c r="A929" s="40">
        <v>4332</v>
      </c>
      <c r="B929" s="39" t="s">
        <v>1709</v>
      </c>
      <c r="C929" s="40" t="s">
        <v>520</v>
      </c>
      <c r="D929" s="74" t="s">
        <v>1269</v>
      </c>
      <c r="E929" s="74" t="s">
        <v>1266</v>
      </c>
      <c r="F929" s="74" t="s">
        <v>1268</v>
      </c>
      <c r="G929" s="74" t="s">
        <v>1267</v>
      </c>
    </row>
    <row r="930" spans="1:7" x14ac:dyDescent="0.2">
      <c r="A930" s="40">
        <v>4341</v>
      </c>
      <c r="B930" s="39" t="s">
        <v>1710</v>
      </c>
      <c r="C930" s="40" t="s">
        <v>520</v>
      </c>
      <c r="D930" s="74" t="s">
        <v>1269</v>
      </c>
      <c r="E930" s="74" t="s">
        <v>1266</v>
      </c>
      <c r="F930" s="74" t="s">
        <v>1268</v>
      </c>
      <c r="G930" s="74" t="s">
        <v>1267</v>
      </c>
    </row>
    <row r="931" spans="1:7" x14ac:dyDescent="0.2">
      <c r="A931" s="40">
        <v>4342</v>
      </c>
      <c r="B931" s="39" t="s">
        <v>1711</v>
      </c>
      <c r="C931" s="40" t="s">
        <v>520</v>
      </c>
      <c r="D931" s="74" t="s">
        <v>1269</v>
      </c>
      <c r="E931" s="74" t="s">
        <v>1266</v>
      </c>
      <c r="F931" s="74" t="s">
        <v>1268</v>
      </c>
      <c r="G931" s="74" t="s">
        <v>1267</v>
      </c>
    </row>
    <row r="932" spans="1:7" x14ac:dyDescent="0.2">
      <c r="A932" s="40">
        <v>4343</v>
      </c>
      <c r="B932" s="39" t="s">
        <v>1712</v>
      </c>
      <c r="C932" s="40" t="s">
        <v>520</v>
      </c>
      <c r="D932" s="74" t="s">
        <v>1269</v>
      </c>
      <c r="E932" s="74" t="s">
        <v>1266</v>
      </c>
      <c r="F932" s="74" t="s">
        <v>1268</v>
      </c>
      <c r="G932" s="74" t="s">
        <v>1268</v>
      </c>
    </row>
    <row r="933" spans="1:7" x14ac:dyDescent="0.2">
      <c r="A933" s="40">
        <v>4351</v>
      </c>
      <c r="B933" s="39" t="s">
        <v>1713</v>
      </c>
      <c r="C933" s="40" t="s">
        <v>520</v>
      </c>
      <c r="D933" s="74" t="s">
        <v>1269</v>
      </c>
      <c r="E933" s="74" t="s">
        <v>1266</v>
      </c>
      <c r="F933" s="74" t="s">
        <v>1268</v>
      </c>
      <c r="G933" s="74" t="s">
        <v>1267</v>
      </c>
    </row>
    <row r="934" spans="1:7" x14ac:dyDescent="0.2">
      <c r="A934" s="40">
        <v>4352</v>
      </c>
      <c r="B934" s="39" t="s">
        <v>1714</v>
      </c>
      <c r="C934" s="40" t="s">
        <v>520</v>
      </c>
      <c r="D934" s="74" t="s">
        <v>1269</v>
      </c>
      <c r="E934" s="74" t="s">
        <v>1266</v>
      </c>
      <c r="F934" s="74" t="s">
        <v>1268</v>
      </c>
      <c r="G934" s="74" t="s">
        <v>1267</v>
      </c>
    </row>
    <row r="935" spans="1:7" x14ac:dyDescent="0.2">
      <c r="A935" s="40">
        <v>4360</v>
      </c>
      <c r="B935" s="39" t="s">
        <v>1715</v>
      </c>
      <c r="C935" s="40" t="s">
        <v>520</v>
      </c>
      <c r="D935" s="74" t="s">
        <v>1269</v>
      </c>
      <c r="E935" s="74" t="s">
        <v>1266</v>
      </c>
      <c r="F935" s="74" t="s">
        <v>1268</v>
      </c>
      <c r="G935" s="74" t="s">
        <v>1268</v>
      </c>
    </row>
    <row r="936" spans="1:7" x14ac:dyDescent="0.2">
      <c r="A936" s="40">
        <v>4362</v>
      </c>
      <c r="B936" s="39" t="s">
        <v>1716</v>
      </c>
      <c r="C936" s="40" t="s">
        <v>520</v>
      </c>
      <c r="D936" s="74" t="s">
        <v>1269</v>
      </c>
      <c r="E936" s="74" t="s">
        <v>1266</v>
      </c>
      <c r="F936" s="74" t="s">
        <v>1268</v>
      </c>
      <c r="G936" s="74" t="s">
        <v>1268</v>
      </c>
    </row>
    <row r="937" spans="1:7" x14ac:dyDescent="0.2">
      <c r="A937" s="40">
        <v>4363</v>
      </c>
      <c r="B937" s="39" t="s">
        <v>1717</v>
      </c>
      <c r="C937" s="40" t="s">
        <v>520</v>
      </c>
      <c r="D937" s="74" t="s">
        <v>1269</v>
      </c>
      <c r="E937" s="74" t="s">
        <v>1266</v>
      </c>
      <c r="F937" s="74" t="s">
        <v>1268</v>
      </c>
      <c r="G937" s="74" t="s">
        <v>1268</v>
      </c>
    </row>
    <row r="938" spans="1:7" x14ac:dyDescent="0.2">
      <c r="A938" s="40">
        <v>4364</v>
      </c>
      <c r="B938" s="39" t="s">
        <v>1718</v>
      </c>
      <c r="C938" s="40" t="s">
        <v>520</v>
      </c>
      <c r="D938" s="74" t="s">
        <v>1269</v>
      </c>
      <c r="E938" s="74" t="s">
        <v>1266</v>
      </c>
      <c r="F938" s="74" t="s">
        <v>1268</v>
      </c>
      <c r="G938" s="74" t="s">
        <v>1267</v>
      </c>
    </row>
    <row r="939" spans="1:7" x14ac:dyDescent="0.2">
      <c r="A939" s="40">
        <v>4371</v>
      </c>
      <c r="B939" s="39" t="s">
        <v>1719</v>
      </c>
      <c r="C939" s="40" t="s">
        <v>520</v>
      </c>
      <c r="D939" s="74" t="s">
        <v>1269</v>
      </c>
      <c r="E939" s="74" t="s">
        <v>1266</v>
      </c>
      <c r="F939" s="74" t="s">
        <v>1268</v>
      </c>
      <c r="G939" s="74" t="s">
        <v>1267</v>
      </c>
    </row>
    <row r="940" spans="1:7" x14ac:dyDescent="0.2">
      <c r="A940" s="40">
        <v>4372</v>
      </c>
      <c r="B940" s="39" t="s">
        <v>1720</v>
      </c>
      <c r="C940" s="40" t="s">
        <v>520</v>
      </c>
      <c r="D940" s="74" t="s">
        <v>1269</v>
      </c>
      <c r="E940" s="74" t="s">
        <v>1266</v>
      </c>
      <c r="F940" s="74" t="s">
        <v>1268</v>
      </c>
      <c r="G940" s="74" t="s">
        <v>1268</v>
      </c>
    </row>
    <row r="941" spans="1:7" x14ac:dyDescent="0.2">
      <c r="A941" s="40">
        <v>4381</v>
      </c>
      <c r="B941" s="39" t="s">
        <v>1721</v>
      </c>
      <c r="C941" s="40" t="s">
        <v>520</v>
      </c>
      <c r="D941" s="74" t="s">
        <v>1269</v>
      </c>
      <c r="E941" s="74" t="s">
        <v>1266</v>
      </c>
      <c r="F941" s="74" t="s">
        <v>1268</v>
      </c>
      <c r="G941" s="74" t="s">
        <v>1267</v>
      </c>
    </row>
    <row r="942" spans="1:7" x14ac:dyDescent="0.2">
      <c r="A942" s="40">
        <v>4382</v>
      </c>
      <c r="B942" s="39" t="s">
        <v>1722</v>
      </c>
      <c r="C942" s="40" t="s">
        <v>520</v>
      </c>
      <c r="D942" s="74" t="s">
        <v>1269</v>
      </c>
      <c r="E942" s="74" t="s">
        <v>1266</v>
      </c>
      <c r="F942" s="74" t="s">
        <v>1268</v>
      </c>
      <c r="G942" s="74" t="s">
        <v>1267</v>
      </c>
    </row>
    <row r="943" spans="1:7" x14ac:dyDescent="0.2">
      <c r="A943" s="40">
        <v>4391</v>
      </c>
      <c r="B943" s="39" t="s">
        <v>1723</v>
      </c>
      <c r="C943" s="40" t="s">
        <v>520</v>
      </c>
      <c r="D943" s="74" t="s">
        <v>1269</v>
      </c>
      <c r="E943" s="74" t="s">
        <v>1266</v>
      </c>
      <c r="F943" s="74" t="s">
        <v>1268</v>
      </c>
      <c r="G943" s="74" t="s">
        <v>1268</v>
      </c>
    </row>
    <row r="944" spans="1:7" x14ac:dyDescent="0.2">
      <c r="A944" s="40">
        <v>4392</v>
      </c>
      <c r="B944" s="39" t="s">
        <v>1724</v>
      </c>
      <c r="C944" s="40" t="s">
        <v>1281</v>
      </c>
      <c r="D944" s="74" t="s">
        <v>1269</v>
      </c>
      <c r="E944" s="74" t="s">
        <v>1266</v>
      </c>
      <c r="F944" s="74" t="s">
        <v>1268</v>
      </c>
      <c r="G944" s="74" t="s">
        <v>1267</v>
      </c>
    </row>
    <row r="945" spans="1:7" x14ac:dyDescent="0.2">
      <c r="A945" s="40">
        <v>4400</v>
      </c>
      <c r="B945" s="39" t="s">
        <v>1725</v>
      </c>
      <c r="C945" s="40" t="s">
        <v>520</v>
      </c>
      <c r="D945" s="74" t="s">
        <v>1269</v>
      </c>
      <c r="E945" s="74" t="s">
        <v>1266</v>
      </c>
      <c r="F945" s="74" t="s">
        <v>1268</v>
      </c>
      <c r="G945" s="74" t="s">
        <v>1268</v>
      </c>
    </row>
    <row r="946" spans="1:7" x14ac:dyDescent="0.2">
      <c r="A946" s="40">
        <v>4401</v>
      </c>
      <c r="B946" s="39" t="s">
        <v>1726</v>
      </c>
      <c r="C946" s="40" t="s">
        <v>520</v>
      </c>
      <c r="D946" s="74" t="s">
        <v>1271</v>
      </c>
      <c r="E946" s="74" t="s">
        <v>1266</v>
      </c>
      <c r="F946" s="74" t="s">
        <v>1267</v>
      </c>
      <c r="G946" s="74" t="s">
        <v>1268</v>
      </c>
    </row>
    <row r="947" spans="1:7" x14ac:dyDescent="0.2">
      <c r="A947" s="40">
        <v>4402</v>
      </c>
      <c r="B947" s="39" t="s">
        <v>1725</v>
      </c>
      <c r="C947" s="40" t="s">
        <v>520</v>
      </c>
      <c r="D947" s="74" t="s">
        <v>1271</v>
      </c>
      <c r="E947" s="74" t="s">
        <v>1266</v>
      </c>
      <c r="F947" s="74" t="s">
        <v>1267</v>
      </c>
      <c r="G947" s="74" t="s">
        <v>1268</v>
      </c>
    </row>
    <row r="948" spans="1:7" x14ac:dyDescent="0.2">
      <c r="A948" s="40">
        <v>4403</v>
      </c>
      <c r="B948" s="39" t="s">
        <v>1725</v>
      </c>
      <c r="C948" s="40" t="s">
        <v>520</v>
      </c>
      <c r="D948" s="74" t="s">
        <v>1271</v>
      </c>
      <c r="E948" s="74" t="s">
        <v>1266</v>
      </c>
      <c r="F948" s="74" t="s">
        <v>1267</v>
      </c>
      <c r="G948" s="74" t="s">
        <v>1268</v>
      </c>
    </row>
    <row r="949" spans="1:7" x14ac:dyDescent="0.2">
      <c r="A949" s="40">
        <v>4405</v>
      </c>
      <c r="B949" s="39" t="s">
        <v>1727</v>
      </c>
      <c r="C949" s="40" t="s">
        <v>520</v>
      </c>
      <c r="D949" s="74" t="s">
        <v>1271</v>
      </c>
      <c r="E949" s="74" t="s">
        <v>1266</v>
      </c>
      <c r="F949" s="74" t="s">
        <v>1267</v>
      </c>
      <c r="G949" s="74" t="s">
        <v>1268</v>
      </c>
    </row>
    <row r="950" spans="1:7" x14ac:dyDescent="0.2">
      <c r="A950" s="40">
        <v>4406</v>
      </c>
      <c r="B950" s="39" t="s">
        <v>1725</v>
      </c>
      <c r="C950" s="40" t="s">
        <v>520</v>
      </c>
      <c r="D950" s="74" t="s">
        <v>1271</v>
      </c>
      <c r="E950" s="74" t="s">
        <v>1266</v>
      </c>
      <c r="F950" s="74" t="s">
        <v>1267</v>
      </c>
      <c r="G950" s="74" t="s">
        <v>1268</v>
      </c>
    </row>
    <row r="951" spans="1:7" x14ac:dyDescent="0.2">
      <c r="A951" s="40">
        <v>4407</v>
      </c>
      <c r="B951" s="39" t="s">
        <v>1728</v>
      </c>
      <c r="C951" s="40" t="s">
        <v>520</v>
      </c>
      <c r="D951" s="74" t="s">
        <v>1269</v>
      </c>
      <c r="E951" s="74" t="s">
        <v>1266</v>
      </c>
      <c r="F951" s="74" t="s">
        <v>1268</v>
      </c>
      <c r="G951" s="74" t="s">
        <v>1268</v>
      </c>
    </row>
    <row r="952" spans="1:7" x14ac:dyDescent="0.2">
      <c r="A952" s="40">
        <v>4411</v>
      </c>
      <c r="B952" s="39" t="s">
        <v>1729</v>
      </c>
      <c r="C952" s="40" t="s">
        <v>520</v>
      </c>
      <c r="D952" s="74" t="s">
        <v>1271</v>
      </c>
      <c r="E952" s="74" t="s">
        <v>1266</v>
      </c>
      <c r="F952" s="74" t="s">
        <v>1267</v>
      </c>
      <c r="G952" s="74" t="s">
        <v>1268</v>
      </c>
    </row>
    <row r="953" spans="1:7" x14ac:dyDescent="0.2">
      <c r="A953" s="40">
        <v>4421</v>
      </c>
      <c r="B953" s="39" t="s">
        <v>1730</v>
      </c>
      <c r="C953" s="40" t="s">
        <v>520</v>
      </c>
      <c r="D953" s="74" t="s">
        <v>1269</v>
      </c>
      <c r="E953" s="74" t="s">
        <v>1266</v>
      </c>
      <c r="F953" s="74" t="s">
        <v>1268</v>
      </c>
      <c r="G953" s="74" t="s">
        <v>1267</v>
      </c>
    </row>
    <row r="954" spans="1:7" x14ac:dyDescent="0.2">
      <c r="A954" s="40">
        <v>4431</v>
      </c>
      <c r="B954" s="39" t="s">
        <v>1731</v>
      </c>
      <c r="C954" s="40" t="s">
        <v>1281</v>
      </c>
      <c r="D954" s="74" t="s">
        <v>1269</v>
      </c>
      <c r="E954" s="74" t="s">
        <v>1266</v>
      </c>
      <c r="F954" s="74" t="s">
        <v>1268</v>
      </c>
      <c r="G954" s="74" t="s">
        <v>1268</v>
      </c>
    </row>
    <row r="955" spans="1:7" x14ac:dyDescent="0.2">
      <c r="A955" s="40">
        <v>4432</v>
      </c>
      <c r="B955" s="39" t="s">
        <v>1732</v>
      </c>
      <c r="C955" s="40" t="s">
        <v>1281</v>
      </c>
      <c r="D955" s="74" t="s">
        <v>1269</v>
      </c>
      <c r="E955" s="74" t="s">
        <v>1266</v>
      </c>
      <c r="F955" s="74" t="s">
        <v>1268</v>
      </c>
      <c r="G955" s="74" t="s">
        <v>1267</v>
      </c>
    </row>
    <row r="956" spans="1:7" x14ac:dyDescent="0.2">
      <c r="A956" s="40">
        <v>4441</v>
      </c>
      <c r="B956" s="39" t="s">
        <v>1733</v>
      </c>
      <c r="C956" s="40" t="s">
        <v>1281</v>
      </c>
      <c r="D956" s="74" t="s">
        <v>1269</v>
      </c>
      <c r="E956" s="74" t="s">
        <v>1266</v>
      </c>
      <c r="F956" s="74" t="s">
        <v>1268</v>
      </c>
      <c r="G956" s="74" t="s">
        <v>1267</v>
      </c>
    </row>
    <row r="957" spans="1:7" x14ac:dyDescent="0.2">
      <c r="A957" s="40">
        <v>4442</v>
      </c>
      <c r="B957" s="39" t="s">
        <v>1734</v>
      </c>
      <c r="C957" s="40" t="s">
        <v>520</v>
      </c>
      <c r="D957" s="74" t="s">
        <v>1269</v>
      </c>
      <c r="E957" s="74" t="s">
        <v>1266</v>
      </c>
      <c r="F957" s="74" t="s">
        <v>1268</v>
      </c>
      <c r="G957" s="74" t="s">
        <v>1267</v>
      </c>
    </row>
    <row r="958" spans="1:7" x14ac:dyDescent="0.2">
      <c r="A958" s="40">
        <v>4443</v>
      </c>
      <c r="B958" s="39" t="s">
        <v>1735</v>
      </c>
      <c r="C958" s="40" t="s">
        <v>520</v>
      </c>
      <c r="D958" s="74" t="s">
        <v>1269</v>
      </c>
      <c r="E958" s="74" t="s">
        <v>1266</v>
      </c>
      <c r="F958" s="74" t="s">
        <v>1268</v>
      </c>
      <c r="G958" s="74" t="s">
        <v>1268</v>
      </c>
    </row>
    <row r="959" spans="1:7" x14ac:dyDescent="0.2">
      <c r="A959" s="40">
        <v>4451</v>
      </c>
      <c r="B959" s="39" t="s">
        <v>1736</v>
      </c>
      <c r="C959" s="40" t="s">
        <v>520</v>
      </c>
      <c r="D959" s="74" t="s">
        <v>1269</v>
      </c>
      <c r="E959" s="74" t="s">
        <v>1266</v>
      </c>
      <c r="F959" s="74" t="s">
        <v>1268</v>
      </c>
      <c r="G959" s="74" t="s">
        <v>1268</v>
      </c>
    </row>
    <row r="960" spans="1:7" x14ac:dyDescent="0.2">
      <c r="A960" s="40">
        <v>4452</v>
      </c>
      <c r="B960" s="39" t="s">
        <v>1737</v>
      </c>
      <c r="C960" s="40" t="s">
        <v>520</v>
      </c>
      <c r="D960" s="74" t="s">
        <v>1269</v>
      </c>
      <c r="E960" s="74" t="s">
        <v>1266</v>
      </c>
      <c r="F960" s="74" t="s">
        <v>1268</v>
      </c>
      <c r="G960" s="74" t="s">
        <v>1268</v>
      </c>
    </row>
    <row r="961" spans="1:7" x14ac:dyDescent="0.2">
      <c r="A961" s="40">
        <v>4453</v>
      </c>
      <c r="B961" s="39" t="s">
        <v>1934</v>
      </c>
      <c r="C961" s="40" t="s">
        <v>520</v>
      </c>
      <c r="D961" s="74" t="s">
        <v>1269</v>
      </c>
      <c r="E961" s="74" t="s">
        <v>1266</v>
      </c>
      <c r="F961" s="74" t="s">
        <v>1268</v>
      </c>
      <c r="G961" s="74" t="s">
        <v>1267</v>
      </c>
    </row>
    <row r="962" spans="1:7" x14ac:dyDescent="0.2">
      <c r="A962" s="40">
        <v>4460</v>
      </c>
      <c r="B962" s="39" t="s">
        <v>1738</v>
      </c>
      <c r="C962" s="40" t="s">
        <v>520</v>
      </c>
      <c r="D962" s="74" t="s">
        <v>1269</v>
      </c>
      <c r="E962" s="74" t="s">
        <v>1266</v>
      </c>
      <c r="F962" s="74" t="s">
        <v>1268</v>
      </c>
      <c r="G962" s="74" t="s">
        <v>1267</v>
      </c>
    </row>
    <row r="963" spans="1:7" x14ac:dyDescent="0.2">
      <c r="A963" s="40">
        <v>4461</v>
      </c>
      <c r="B963" s="39" t="s">
        <v>1739</v>
      </c>
      <c r="C963" s="40" t="s">
        <v>520</v>
      </c>
      <c r="D963" s="74" t="s">
        <v>1269</v>
      </c>
      <c r="E963" s="74" t="s">
        <v>1266</v>
      </c>
      <c r="F963" s="74" t="s">
        <v>1268</v>
      </c>
      <c r="G963" s="74" t="s">
        <v>1267</v>
      </c>
    </row>
    <row r="964" spans="1:7" x14ac:dyDescent="0.2">
      <c r="A964" s="40">
        <v>4462</v>
      </c>
      <c r="B964" s="39" t="s">
        <v>258</v>
      </c>
      <c r="C964" s="40" t="s">
        <v>520</v>
      </c>
      <c r="D964" s="74" t="s">
        <v>1269</v>
      </c>
      <c r="E964" s="74" t="s">
        <v>1266</v>
      </c>
      <c r="F964" s="74" t="s">
        <v>1268</v>
      </c>
      <c r="G964" s="74" t="s">
        <v>1267</v>
      </c>
    </row>
    <row r="965" spans="1:7" x14ac:dyDescent="0.2">
      <c r="A965" s="40">
        <v>4463</v>
      </c>
      <c r="B965" s="39" t="s">
        <v>1740</v>
      </c>
      <c r="C965" s="40" t="s">
        <v>520</v>
      </c>
      <c r="D965" s="74" t="s">
        <v>1269</v>
      </c>
      <c r="E965" s="74" t="s">
        <v>1266</v>
      </c>
      <c r="F965" s="74" t="s">
        <v>1268</v>
      </c>
      <c r="G965" s="74" t="s">
        <v>1268</v>
      </c>
    </row>
    <row r="966" spans="1:7" x14ac:dyDescent="0.2">
      <c r="A966" s="40">
        <v>4464</v>
      </c>
      <c r="B966" s="39" t="s">
        <v>1741</v>
      </c>
      <c r="C966" s="40" t="s">
        <v>520</v>
      </c>
      <c r="D966" s="74" t="s">
        <v>1269</v>
      </c>
      <c r="E966" s="74" t="s">
        <v>1266</v>
      </c>
      <c r="F966" s="74" t="s">
        <v>1268</v>
      </c>
      <c r="G966" s="74" t="s">
        <v>1267</v>
      </c>
    </row>
    <row r="967" spans="1:7" x14ac:dyDescent="0.2">
      <c r="A967" s="40">
        <v>4470</v>
      </c>
      <c r="B967" s="39" t="s">
        <v>1742</v>
      </c>
      <c r="C967" s="40" t="s">
        <v>520</v>
      </c>
      <c r="D967" s="74" t="s">
        <v>1269</v>
      </c>
      <c r="E967" s="74" t="s">
        <v>1266</v>
      </c>
      <c r="F967" s="74" t="s">
        <v>1268</v>
      </c>
      <c r="G967" s="74" t="s">
        <v>1268</v>
      </c>
    </row>
    <row r="968" spans="1:7" x14ac:dyDescent="0.2">
      <c r="A968" s="40">
        <v>4481</v>
      </c>
      <c r="B968" s="39" t="s">
        <v>1743</v>
      </c>
      <c r="C968" s="40" t="s">
        <v>520</v>
      </c>
      <c r="D968" s="74" t="s">
        <v>1269</v>
      </c>
      <c r="E968" s="74" t="s">
        <v>1266</v>
      </c>
      <c r="F968" s="74" t="s">
        <v>1268</v>
      </c>
      <c r="G968" s="74" t="s">
        <v>1268</v>
      </c>
    </row>
    <row r="969" spans="1:7" x14ac:dyDescent="0.2">
      <c r="A969" s="40">
        <v>4482</v>
      </c>
      <c r="B969" s="39" t="s">
        <v>1744</v>
      </c>
      <c r="C969" s="40" t="s">
        <v>1281</v>
      </c>
      <c r="D969" s="74" t="s">
        <v>1269</v>
      </c>
      <c r="E969" s="74" t="s">
        <v>1266</v>
      </c>
      <c r="F969" s="74" t="s">
        <v>1268</v>
      </c>
      <c r="G969" s="74" t="s">
        <v>1267</v>
      </c>
    </row>
    <row r="970" spans="1:7" x14ac:dyDescent="0.2">
      <c r="A970" s="40">
        <v>4483</v>
      </c>
      <c r="B970" s="39" t="s">
        <v>1745</v>
      </c>
      <c r="C970" s="40" t="s">
        <v>520</v>
      </c>
      <c r="D970" s="74" t="s">
        <v>1269</v>
      </c>
      <c r="E970" s="74" t="s">
        <v>1266</v>
      </c>
      <c r="F970" s="74" t="s">
        <v>1268</v>
      </c>
      <c r="G970" s="74" t="s">
        <v>1267</v>
      </c>
    </row>
    <row r="971" spans="1:7" x14ac:dyDescent="0.2">
      <c r="A971" s="40">
        <v>4484</v>
      </c>
      <c r="B971" s="39" t="s">
        <v>1746</v>
      </c>
      <c r="C971" s="40" t="s">
        <v>520</v>
      </c>
      <c r="D971" s="74" t="s">
        <v>1269</v>
      </c>
      <c r="E971" s="74" t="s">
        <v>1266</v>
      </c>
      <c r="F971" s="74" t="s">
        <v>1268</v>
      </c>
      <c r="G971" s="74" t="s">
        <v>1268</v>
      </c>
    </row>
    <row r="972" spans="1:7" x14ac:dyDescent="0.2">
      <c r="A972" s="40">
        <v>4490</v>
      </c>
      <c r="B972" s="39" t="s">
        <v>1747</v>
      </c>
      <c r="C972" s="40" t="s">
        <v>520</v>
      </c>
      <c r="D972" s="74" t="s">
        <v>1269</v>
      </c>
      <c r="E972" s="74" t="s">
        <v>1266</v>
      </c>
      <c r="F972" s="74" t="s">
        <v>1268</v>
      </c>
      <c r="G972" s="74" t="s">
        <v>1268</v>
      </c>
    </row>
    <row r="973" spans="1:7" x14ac:dyDescent="0.2">
      <c r="A973" s="40">
        <v>4491</v>
      </c>
      <c r="B973" s="39" t="s">
        <v>1748</v>
      </c>
      <c r="C973" s="40" t="s">
        <v>520</v>
      </c>
      <c r="D973" s="74" t="s">
        <v>1269</v>
      </c>
      <c r="E973" s="74" t="s">
        <v>1266</v>
      </c>
      <c r="F973" s="74" t="s">
        <v>1268</v>
      </c>
      <c r="G973" s="74" t="s">
        <v>1268</v>
      </c>
    </row>
    <row r="974" spans="1:7" x14ac:dyDescent="0.2">
      <c r="A974" s="40">
        <v>4492</v>
      </c>
      <c r="B974" s="39" t="s">
        <v>1749</v>
      </c>
      <c r="C974" s="40" t="s">
        <v>520</v>
      </c>
      <c r="D974" s="74" t="s">
        <v>1269</v>
      </c>
      <c r="E974" s="74" t="s">
        <v>1266</v>
      </c>
      <c r="F974" s="74" t="s">
        <v>1268</v>
      </c>
      <c r="G974" s="74" t="s">
        <v>1267</v>
      </c>
    </row>
    <row r="975" spans="1:7" x14ac:dyDescent="0.2">
      <c r="A975" s="40">
        <v>4493</v>
      </c>
      <c r="B975" s="39" t="s">
        <v>1750</v>
      </c>
      <c r="C975" s="40" t="s">
        <v>520</v>
      </c>
      <c r="D975" s="74" t="s">
        <v>1269</v>
      </c>
      <c r="E975" s="74" t="s">
        <v>1266</v>
      </c>
      <c r="F975" s="74" t="s">
        <v>1268</v>
      </c>
      <c r="G975" s="74" t="s">
        <v>1267</v>
      </c>
    </row>
    <row r="976" spans="1:7" x14ac:dyDescent="0.2">
      <c r="A976" s="40">
        <v>4501</v>
      </c>
      <c r="B976" s="39" t="s">
        <v>1751</v>
      </c>
      <c r="C976" s="40" t="s">
        <v>520</v>
      </c>
      <c r="D976" s="74" t="s">
        <v>1269</v>
      </c>
      <c r="E976" s="74" t="s">
        <v>1266</v>
      </c>
      <c r="F976" s="74" t="s">
        <v>1268</v>
      </c>
      <c r="G976" s="74" t="s">
        <v>1268</v>
      </c>
    </row>
    <row r="977" spans="1:7" x14ac:dyDescent="0.2">
      <c r="A977" s="40">
        <v>4502</v>
      </c>
      <c r="B977" s="39" t="s">
        <v>1752</v>
      </c>
      <c r="C977" s="40" t="s">
        <v>520</v>
      </c>
      <c r="D977" s="74" t="s">
        <v>1269</v>
      </c>
      <c r="E977" s="74" t="s">
        <v>1266</v>
      </c>
      <c r="F977" s="74" t="s">
        <v>1268</v>
      </c>
      <c r="G977" s="74" t="s">
        <v>1268</v>
      </c>
    </row>
    <row r="978" spans="1:7" x14ac:dyDescent="0.2">
      <c r="A978" s="40">
        <v>4511</v>
      </c>
      <c r="B978" s="39" t="s">
        <v>1753</v>
      </c>
      <c r="C978" s="40" t="s">
        <v>520</v>
      </c>
      <c r="D978" s="74" t="s">
        <v>1269</v>
      </c>
      <c r="E978" s="74" t="s">
        <v>1266</v>
      </c>
      <c r="F978" s="74" t="s">
        <v>1268</v>
      </c>
      <c r="G978" s="74" t="s">
        <v>1267</v>
      </c>
    </row>
    <row r="979" spans="1:7" x14ac:dyDescent="0.2">
      <c r="A979" s="40">
        <v>4521</v>
      </c>
      <c r="B979" s="39" t="s">
        <v>1754</v>
      </c>
      <c r="C979" s="40" t="s">
        <v>520</v>
      </c>
      <c r="D979" s="74" t="s">
        <v>1269</v>
      </c>
      <c r="E979" s="74" t="s">
        <v>1266</v>
      </c>
      <c r="F979" s="74" t="s">
        <v>1268</v>
      </c>
      <c r="G979" s="74" t="s">
        <v>1267</v>
      </c>
    </row>
    <row r="980" spans="1:7" x14ac:dyDescent="0.2">
      <c r="A980" s="40">
        <v>4522</v>
      </c>
      <c r="B980" s="39" t="s">
        <v>1755</v>
      </c>
      <c r="C980" s="40" t="s">
        <v>520</v>
      </c>
      <c r="D980" s="74" t="s">
        <v>1269</v>
      </c>
      <c r="E980" s="74" t="s">
        <v>1266</v>
      </c>
      <c r="F980" s="74" t="s">
        <v>1268</v>
      </c>
      <c r="G980" s="74" t="s">
        <v>1268</v>
      </c>
    </row>
    <row r="981" spans="1:7" x14ac:dyDescent="0.2">
      <c r="A981" s="40">
        <v>4523</v>
      </c>
      <c r="B981" s="39" t="s">
        <v>1756</v>
      </c>
      <c r="C981" s="40" t="s">
        <v>520</v>
      </c>
      <c r="D981" s="74" t="s">
        <v>1269</v>
      </c>
      <c r="E981" s="74" t="s">
        <v>1266</v>
      </c>
      <c r="F981" s="74" t="s">
        <v>1268</v>
      </c>
      <c r="G981" s="74" t="s">
        <v>1267</v>
      </c>
    </row>
    <row r="982" spans="1:7" x14ac:dyDescent="0.2">
      <c r="A982" s="40">
        <v>4531</v>
      </c>
      <c r="B982" s="39" t="s">
        <v>1757</v>
      </c>
      <c r="C982" s="40" t="s">
        <v>520</v>
      </c>
      <c r="D982" s="74" t="s">
        <v>1269</v>
      </c>
      <c r="E982" s="74" t="s">
        <v>1266</v>
      </c>
      <c r="F982" s="74" t="s">
        <v>1268</v>
      </c>
      <c r="G982" s="74" t="s">
        <v>1268</v>
      </c>
    </row>
    <row r="983" spans="1:7" x14ac:dyDescent="0.2">
      <c r="A983" s="40">
        <v>4532</v>
      </c>
      <c r="B983" s="39" t="s">
        <v>1758</v>
      </c>
      <c r="C983" s="40" t="s">
        <v>520</v>
      </c>
      <c r="D983" s="74" t="s">
        <v>1269</v>
      </c>
      <c r="E983" s="74" t="s">
        <v>1266</v>
      </c>
      <c r="F983" s="74" t="s">
        <v>1268</v>
      </c>
      <c r="G983" s="74" t="s">
        <v>1267</v>
      </c>
    </row>
    <row r="984" spans="1:7" x14ac:dyDescent="0.2">
      <c r="A984" s="40">
        <v>4533</v>
      </c>
      <c r="B984" s="39" t="s">
        <v>1759</v>
      </c>
      <c r="C984" s="40" t="s">
        <v>520</v>
      </c>
      <c r="D984" s="74" t="s">
        <v>1269</v>
      </c>
      <c r="E984" s="74" t="s">
        <v>1266</v>
      </c>
      <c r="F984" s="74" t="s">
        <v>1268</v>
      </c>
      <c r="G984" s="74" t="s">
        <v>1267</v>
      </c>
    </row>
    <row r="985" spans="1:7" x14ac:dyDescent="0.2">
      <c r="A985" s="40">
        <v>4540</v>
      </c>
      <c r="B985" s="39" t="s">
        <v>1760</v>
      </c>
      <c r="C985" s="40" t="s">
        <v>520</v>
      </c>
      <c r="D985" s="74" t="s">
        <v>1269</v>
      </c>
      <c r="E985" s="74" t="s">
        <v>1266</v>
      </c>
      <c r="F985" s="74" t="s">
        <v>1268</v>
      </c>
      <c r="G985" s="74" t="s">
        <v>1268</v>
      </c>
    </row>
    <row r="986" spans="1:7" x14ac:dyDescent="0.2">
      <c r="A986" s="40">
        <v>4541</v>
      </c>
      <c r="B986" s="39" t="s">
        <v>1761</v>
      </c>
      <c r="C986" s="40" t="s">
        <v>520</v>
      </c>
      <c r="D986" s="74" t="s">
        <v>1269</v>
      </c>
      <c r="E986" s="74" t="s">
        <v>1266</v>
      </c>
      <c r="F986" s="74" t="s">
        <v>1268</v>
      </c>
      <c r="G986" s="74" t="s">
        <v>1267</v>
      </c>
    </row>
    <row r="987" spans="1:7" x14ac:dyDescent="0.2">
      <c r="A987" s="40">
        <v>4542</v>
      </c>
      <c r="B987" s="39" t="s">
        <v>1762</v>
      </c>
      <c r="C987" s="40" t="s">
        <v>520</v>
      </c>
      <c r="D987" s="74" t="s">
        <v>1269</v>
      </c>
      <c r="E987" s="74" t="s">
        <v>1266</v>
      </c>
      <c r="F987" s="74" t="s">
        <v>1268</v>
      </c>
      <c r="G987" s="74" t="s">
        <v>1267</v>
      </c>
    </row>
    <row r="988" spans="1:7" x14ac:dyDescent="0.2">
      <c r="A988" s="40">
        <v>4550</v>
      </c>
      <c r="B988" s="39" t="s">
        <v>204</v>
      </c>
      <c r="C988" s="40" t="s">
        <v>520</v>
      </c>
      <c r="D988" s="74" t="s">
        <v>1269</v>
      </c>
      <c r="E988" s="74" t="s">
        <v>1266</v>
      </c>
      <c r="F988" s="74" t="s">
        <v>1268</v>
      </c>
      <c r="G988" s="74" t="s">
        <v>1268</v>
      </c>
    </row>
    <row r="989" spans="1:7" x14ac:dyDescent="0.2">
      <c r="A989" s="40">
        <v>4551</v>
      </c>
      <c r="B989" s="39" t="s">
        <v>1763</v>
      </c>
      <c r="C989" s="40" t="s">
        <v>520</v>
      </c>
      <c r="D989" s="74" t="s">
        <v>1269</v>
      </c>
      <c r="E989" s="74" t="s">
        <v>1266</v>
      </c>
      <c r="F989" s="74" t="s">
        <v>1268</v>
      </c>
      <c r="G989" s="74" t="s">
        <v>1267</v>
      </c>
    </row>
    <row r="990" spans="1:7" x14ac:dyDescent="0.2">
      <c r="A990" s="40">
        <v>4552</v>
      </c>
      <c r="B990" s="39" t="s">
        <v>1764</v>
      </c>
      <c r="C990" s="40" t="s">
        <v>520</v>
      </c>
      <c r="D990" s="74" t="s">
        <v>1269</v>
      </c>
      <c r="E990" s="74" t="s">
        <v>1266</v>
      </c>
      <c r="F990" s="74" t="s">
        <v>1268</v>
      </c>
      <c r="G990" s="74" t="s">
        <v>1268</v>
      </c>
    </row>
    <row r="991" spans="1:7" x14ac:dyDescent="0.2">
      <c r="A991" s="40">
        <v>4553</v>
      </c>
      <c r="B991" s="39" t="s">
        <v>1765</v>
      </c>
      <c r="C991" s="40" t="s">
        <v>520</v>
      </c>
      <c r="D991" s="74" t="s">
        <v>1269</v>
      </c>
      <c r="E991" s="74" t="s">
        <v>1266</v>
      </c>
      <c r="F991" s="74" t="s">
        <v>1268</v>
      </c>
      <c r="G991" s="74" t="s">
        <v>1267</v>
      </c>
    </row>
    <row r="992" spans="1:7" x14ac:dyDescent="0.2">
      <c r="A992" s="40">
        <v>4560</v>
      </c>
      <c r="B992" s="39" t="s">
        <v>1766</v>
      </c>
      <c r="C992" s="40" t="s">
        <v>520</v>
      </c>
      <c r="D992" s="74" t="s">
        <v>1269</v>
      </c>
      <c r="E992" s="74" t="s">
        <v>1266</v>
      </c>
      <c r="F992" s="74" t="s">
        <v>1268</v>
      </c>
      <c r="G992" s="74" t="s">
        <v>1268</v>
      </c>
    </row>
    <row r="993" spans="1:7" x14ac:dyDescent="0.2">
      <c r="A993" s="40">
        <v>4562</v>
      </c>
      <c r="B993" s="39" t="s">
        <v>1767</v>
      </c>
      <c r="C993" s="40" t="s">
        <v>520</v>
      </c>
      <c r="D993" s="74" t="s">
        <v>1269</v>
      </c>
      <c r="E993" s="74" t="s">
        <v>1266</v>
      </c>
      <c r="F993" s="74" t="s">
        <v>1268</v>
      </c>
      <c r="G993" s="74" t="s">
        <v>1267</v>
      </c>
    </row>
    <row r="994" spans="1:7" x14ac:dyDescent="0.2">
      <c r="A994" s="40">
        <v>4563</v>
      </c>
      <c r="B994" s="39" t="s">
        <v>1768</v>
      </c>
      <c r="C994" s="40" t="s">
        <v>520</v>
      </c>
      <c r="D994" s="74" t="s">
        <v>1269</v>
      </c>
      <c r="E994" s="74" t="s">
        <v>1266</v>
      </c>
      <c r="F994" s="74" t="s">
        <v>1268</v>
      </c>
      <c r="G994" s="74" t="s">
        <v>1268</v>
      </c>
    </row>
    <row r="995" spans="1:7" x14ac:dyDescent="0.2">
      <c r="A995" s="40">
        <v>4564</v>
      </c>
      <c r="B995" s="39" t="s">
        <v>1769</v>
      </c>
      <c r="C995" s="40" t="s">
        <v>520</v>
      </c>
      <c r="D995" s="74" t="s">
        <v>1269</v>
      </c>
      <c r="E995" s="74" t="s">
        <v>1266</v>
      </c>
      <c r="F995" s="74" t="s">
        <v>1268</v>
      </c>
      <c r="G995" s="74" t="s">
        <v>1267</v>
      </c>
    </row>
    <row r="996" spans="1:7" x14ac:dyDescent="0.2">
      <c r="A996" s="40">
        <v>4571</v>
      </c>
      <c r="B996" s="39" t="s">
        <v>1770</v>
      </c>
      <c r="C996" s="40" t="s">
        <v>520</v>
      </c>
      <c r="D996" s="74" t="s">
        <v>1269</v>
      </c>
      <c r="E996" s="74" t="s">
        <v>1266</v>
      </c>
      <c r="F996" s="74" t="s">
        <v>1268</v>
      </c>
      <c r="G996" s="74" t="s">
        <v>1267</v>
      </c>
    </row>
    <row r="997" spans="1:7" x14ac:dyDescent="0.2">
      <c r="A997" s="40">
        <v>4572</v>
      </c>
      <c r="B997" s="39" t="s">
        <v>1771</v>
      </c>
      <c r="C997" s="40" t="s">
        <v>520</v>
      </c>
      <c r="D997" s="74" t="s">
        <v>1269</v>
      </c>
      <c r="E997" s="74" t="s">
        <v>1266</v>
      </c>
      <c r="F997" s="74" t="s">
        <v>1268</v>
      </c>
      <c r="G997" s="74" t="s">
        <v>1267</v>
      </c>
    </row>
    <row r="998" spans="1:7" x14ac:dyDescent="0.2">
      <c r="A998" s="40">
        <v>4573</v>
      </c>
      <c r="B998" s="39" t="s">
        <v>1772</v>
      </c>
      <c r="C998" s="40" t="s">
        <v>520</v>
      </c>
      <c r="D998" s="74" t="s">
        <v>1269</v>
      </c>
      <c r="E998" s="74" t="s">
        <v>1266</v>
      </c>
      <c r="F998" s="74" t="s">
        <v>1268</v>
      </c>
      <c r="G998" s="74" t="s">
        <v>1268</v>
      </c>
    </row>
    <row r="999" spans="1:7" x14ac:dyDescent="0.2">
      <c r="A999" s="40">
        <v>4574</v>
      </c>
      <c r="B999" s="39" t="s">
        <v>1773</v>
      </c>
      <c r="C999" s="40" t="s">
        <v>520</v>
      </c>
      <c r="D999" s="74" t="s">
        <v>1269</v>
      </c>
      <c r="E999" s="74" t="s">
        <v>1266</v>
      </c>
      <c r="F999" s="74" t="s">
        <v>1268</v>
      </c>
      <c r="G999" s="74" t="s">
        <v>1267</v>
      </c>
    </row>
    <row r="1000" spans="1:7" x14ac:dyDescent="0.2">
      <c r="A1000" s="40">
        <v>4575</v>
      </c>
      <c r="B1000" s="39" t="s">
        <v>1774</v>
      </c>
      <c r="C1000" s="40" t="s">
        <v>520</v>
      </c>
      <c r="D1000" s="74" t="s">
        <v>1269</v>
      </c>
      <c r="E1000" s="74" t="s">
        <v>1266</v>
      </c>
      <c r="F1000" s="74" t="s">
        <v>1268</v>
      </c>
      <c r="G1000" s="74" t="s">
        <v>1267</v>
      </c>
    </row>
    <row r="1001" spans="1:7" x14ac:dyDescent="0.2">
      <c r="A1001" s="40">
        <v>4580</v>
      </c>
      <c r="B1001" s="39" t="s">
        <v>1775</v>
      </c>
      <c r="C1001" s="40" t="s">
        <v>520</v>
      </c>
      <c r="D1001" s="74" t="s">
        <v>1269</v>
      </c>
      <c r="E1001" s="74" t="s">
        <v>1266</v>
      </c>
      <c r="F1001" s="74" t="s">
        <v>1268</v>
      </c>
      <c r="G1001" s="74" t="s">
        <v>1268</v>
      </c>
    </row>
    <row r="1002" spans="1:7" x14ac:dyDescent="0.2">
      <c r="A1002" s="40">
        <v>4581</v>
      </c>
      <c r="B1002" s="39" t="s">
        <v>1776</v>
      </c>
      <c r="C1002" s="40" t="s">
        <v>520</v>
      </c>
      <c r="D1002" s="74" t="s">
        <v>1269</v>
      </c>
      <c r="E1002" s="74" t="s">
        <v>1266</v>
      </c>
      <c r="F1002" s="74" t="s">
        <v>1268</v>
      </c>
      <c r="G1002" s="74" t="s">
        <v>1267</v>
      </c>
    </row>
    <row r="1003" spans="1:7" x14ac:dyDescent="0.2">
      <c r="A1003" s="40">
        <v>4582</v>
      </c>
      <c r="B1003" s="39" t="s">
        <v>1777</v>
      </c>
      <c r="C1003" s="40" t="s">
        <v>520</v>
      </c>
      <c r="D1003" s="74" t="s">
        <v>1269</v>
      </c>
      <c r="E1003" s="74" t="s">
        <v>1266</v>
      </c>
      <c r="F1003" s="74" t="s">
        <v>1268</v>
      </c>
      <c r="G1003" s="74" t="s">
        <v>1268</v>
      </c>
    </row>
    <row r="1004" spans="1:7" x14ac:dyDescent="0.2">
      <c r="A1004" s="40">
        <v>4591</v>
      </c>
      <c r="B1004" s="39" t="s">
        <v>1778</v>
      </c>
      <c r="C1004" s="40" t="s">
        <v>520</v>
      </c>
      <c r="D1004" s="74" t="s">
        <v>1269</v>
      </c>
      <c r="E1004" s="74" t="s">
        <v>1266</v>
      </c>
      <c r="F1004" s="74" t="s">
        <v>1268</v>
      </c>
      <c r="G1004" s="74" t="s">
        <v>1268</v>
      </c>
    </row>
    <row r="1005" spans="1:7" x14ac:dyDescent="0.2">
      <c r="A1005" s="40">
        <v>4592</v>
      </c>
      <c r="B1005" s="39" t="s">
        <v>1779</v>
      </c>
      <c r="C1005" s="40" t="s">
        <v>520</v>
      </c>
      <c r="D1005" s="74" t="s">
        <v>1269</v>
      </c>
      <c r="E1005" s="74" t="s">
        <v>1266</v>
      </c>
      <c r="F1005" s="74" t="s">
        <v>1268</v>
      </c>
      <c r="G1005" s="74" t="s">
        <v>1267</v>
      </c>
    </row>
    <row r="1006" spans="1:7" x14ac:dyDescent="0.2">
      <c r="A1006" s="40">
        <v>4593</v>
      </c>
      <c r="B1006" s="39" t="s">
        <v>1780</v>
      </c>
      <c r="C1006" s="40" t="s">
        <v>520</v>
      </c>
      <c r="D1006" s="74" t="s">
        <v>1269</v>
      </c>
      <c r="E1006" s="74" t="s">
        <v>1266</v>
      </c>
      <c r="F1006" s="74" t="s">
        <v>1268</v>
      </c>
      <c r="G1006" s="74" t="s">
        <v>1267</v>
      </c>
    </row>
    <row r="1007" spans="1:7" x14ac:dyDescent="0.2">
      <c r="A1007" s="40">
        <v>4594</v>
      </c>
      <c r="B1007" s="39" t="s">
        <v>1781</v>
      </c>
      <c r="C1007" s="40" t="s">
        <v>520</v>
      </c>
      <c r="D1007" s="74" t="s">
        <v>1269</v>
      </c>
      <c r="E1007" s="74" t="s">
        <v>1266</v>
      </c>
      <c r="F1007" s="74" t="s">
        <v>1268</v>
      </c>
      <c r="G1007" s="74" t="s">
        <v>1268</v>
      </c>
    </row>
    <row r="1008" spans="1:7" x14ac:dyDescent="0.2">
      <c r="A1008" s="40">
        <v>4595</v>
      </c>
      <c r="B1008" s="39" t="s">
        <v>1782</v>
      </c>
      <c r="C1008" s="40" t="s">
        <v>520</v>
      </c>
      <c r="D1008" s="74" t="s">
        <v>1269</v>
      </c>
      <c r="E1008" s="74" t="s">
        <v>1266</v>
      </c>
      <c r="F1008" s="74" t="s">
        <v>1268</v>
      </c>
      <c r="G1008" s="74" t="s">
        <v>1267</v>
      </c>
    </row>
    <row r="1009" spans="1:7" x14ac:dyDescent="0.2">
      <c r="A1009" s="40">
        <v>4600</v>
      </c>
      <c r="B1009" s="39" t="s">
        <v>280</v>
      </c>
      <c r="C1009" s="40" t="s">
        <v>520</v>
      </c>
      <c r="D1009" s="74" t="s">
        <v>1269</v>
      </c>
      <c r="E1009" s="74" t="s">
        <v>1266</v>
      </c>
      <c r="F1009" s="74" t="s">
        <v>1268</v>
      </c>
      <c r="G1009" s="74" t="s">
        <v>1268</v>
      </c>
    </row>
    <row r="1010" spans="1:7" x14ac:dyDescent="0.2">
      <c r="A1010" s="40">
        <v>4601</v>
      </c>
      <c r="B1010" s="39" t="s">
        <v>280</v>
      </c>
      <c r="C1010" s="40" t="s">
        <v>520</v>
      </c>
      <c r="D1010" s="74" t="s">
        <v>1271</v>
      </c>
      <c r="E1010" s="74" t="s">
        <v>1266</v>
      </c>
      <c r="F1010" s="74" t="s">
        <v>1267</v>
      </c>
      <c r="G1010" s="74" t="s">
        <v>1268</v>
      </c>
    </row>
    <row r="1011" spans="1:7" x14ac:dyDescent="0.2">
      <c r="A1011" s="40">
        <v>4602</v>
      </c>
      <c r="B1011" s="39" t="s">
        <v>286</v>
      </c>
      <c r="C1011" s="40" t="s">
        <v>520</v>
      </c>
      <c r="D1011" s="74" t="s">
        <v>1271</v>
      </c>
      <c r="E1011" s="74" t="s">
        <v>1266</v>
      </c>
      <c r="F1011" s="74" t="s">
        <v>1267</v>
      </c>
      <c r="G1011" s="74" t="s">
        <v>1268</v>
      </c>
    </row>
    <row r="1012" spans="1:7" x14ac:dyDescent="0.2">
      <c r="A1012" s="40">
        <v>4603</v>
      </c>
      <c r="B1012" s="39" t="s">
        <v>280</v>
      </c>
      <c r="C1012" s="40" t="s">
        <v>520</v>
      </c>
      <c r="D1012" s="74" t="s">
        <v>1271</v>
      </c>
      <c r="E1012" s="74" t="s">
        <v>1266</v>
      </c>
      <c r="F1012" s="74" t="s">
        <v>1267</v>
      </c>
      <c r="G1012" s="74" t="s">
        <v>1268</v>
      </c>
    </row>
    <row r="1013" spans="1:7" x14ac:dyDescent="0.2">
      <c r="A1013" s="40">
        <v>4604</v>
      </c>
      <c r="B1013" s="39" t="s">
        <v>280</v>
      </c>
      <c r="C1013" s="40" t="s">
        <v>520</v>
      </c>
      <c r="D1013" s="74" t="s">
        <v>1271</v>
      </c>
      <c r="E1013" s="74" t="s">
        <v>1266</v>
      </c>
      <c r="F1013" s="74" t="s">
        <v>1267</v>
      </c>
      <c r="G1013" s="74" t="s">
        <v>1268</v>
      </c>
    </row>
    <row r="1014" spans="1:7" x14ac:dyDescent="0.2">
      <c r="A1014" s="40">
        <v>4605</v>
      </c>
      <c r="B1014" s="39" t="s">
        <v>280</v>
      </c>
      <c r="C1014" s="40" t="s">
        <v>520</v>
      </c>
      <c r="D1014" s="74" t="s">
        <v>1271</v>
      </c>
      <c r="E1014" s="74" t="s">
        <v>1266</v>
      </c>
      <c r="F1014" s="74" t="s">
        <v>1267</v>
      </c>
      <c r="G1014" s="74" t="s">
        <v>1268</v>
      </c>
    </row>
    <row r="1015" spans="1:7" x14ac:dyDescent="0.2">
      <c r="A1015" s="40">
        <v>4606</v>
      </c>
      <c r="B1015" s="39" t="s">
        <v>280</v>
      </c>
      <c r="C1015" s="40" t="s">
        <v>520</v>
      </c>
      <c r="D1015" s="74" t="s">
        <v>1271</v>
      </c>
      <c r="E1015" s="74" t="s">
        <v>1266</v>
      </c>
      <c r="F1015" s="74" t="s">
        <v>1267</v>
      </c>
      <c r="G1015" s="74" t="s">
        <v>1268</v>
      </c>
    </row>
    <row r="1016" spans="1:7" x14ac:dyDescent="0.2">
      <c r="A1016" s="40">
        <v>4607</v>
      </c>
      <c r="B1016" s="39" t="s">
        <v>280</v>
      </c>
      <c r="C1016" s="40" t="s">
        <v>520</v>
      </c>
      <c r="D1016" s="74" t="s">
        <v>1271</v>
      </c>
      <c r="E1016" s="74" t="s">
        <v>1266</v>
      </c>
      <c r="F1016" s="74" t="s">
        <v>1267</v>
      </c>
      <c r="G1016" s="74" t="s">
        <v>1268</v>
      </c>
    </row>
    <row r="1017" spans="1:7" x14ac:dyDescent="0.2">
      <c r="A1017" s="40">
        <v>4609</v>
      </c>
      <c r="B1017" s="39" t="s">
        <v>287</v>
      </c>
      <c r="C1017" s="40" t="s">
        <v>520</v>
      </c>
      <c r="D1017" s="74" t="s">
        <v>1271</v>
      </c>
      <c r="E1017" s="74" t="s">
        <v>1266</v>
      </c>
      <c r="F1017" s="74" t="s">
        <v>1267</v>
      </c>
      <c r="G1017" s="74" t="s">
        <v>1268</v>
      </c>
    </row>
    <row r="1018" spans="1:7" x14ac:dyDescent="0.2">
      <c r="A1018" s="40">
        <v>4611</v>
      </c>
      <c r="B1018" s="39" t="s">
        <v>288</v>
      </c>
      <c r="C1018" s="40" t="s">
        <v>520</v>
      </c>
      <c r="D1018" s="74" t="s">
        <v>1269</v>
      </c>
      <c r="E1018" s="74" t="s">
        <v>1266</v>
      </c>
      <c r="F1018" s="74" t="s">
        <v>1268</v>
      </c>
      <c r="G1018" s="74" t="s">
        <v>1267</v>
      </c>
    </row>
    <row r="1019" spans="1:7" x14ac:dyDescent="0.2">
      <c r="A1019" s="40">
        <v>4612</v>
      </c>
      <c r="B1019" s="39" t="s">
        <v>289</v>
      </c>
      <c r="C1019" s="40" t="s">
        <v>520</v>
      </c>
      <c r="D1019" s="74" t="s">
        <v>1269</v>
      </c>
      <c r="E1019" s="74" t="s">
        <v>1266</v>
      </c>
      <c r="F1019" s="74" t="s">
        <v>1268</v>
      </c>
      <c r="G1019" s="74" t="s">
        <v>1267</v>
      </c>
    </row>
    <row r="1020" spans="1:7" x14ac:dyDescent="0.2">
      <c r="A1020" s="40">
        <v>4613</v>
      </c>
      <c r="B1020" s="39" t="s">
        <v>290</v>
      </c>
      <c r="C1020" s="40" t="s">
        <v>520</v>
      </c>
      <c r="D1020" s="74" t="s">
        <v>1269</v>
      </c>
      <c r="E1020" s="74" t="s">
        <v>1266</v>
      </c>
      <c r="F1020" s="74" t="s">
        <v>1268</v>
      </c>
      <c r="G1020" s="74" t="s">
        <v>1267</v>
      </c>
    </row>
    <row r="1021" spans="1:7" x14ac:dyDescent="0.2">
      <c r="A1021" s="40">
        <v>4614</v>
      </c>
      <c r="B1021" s="39" t="s">
        <v>291</v>
      </c>
      <c r="C1021" s="40" t="s">
        <v>520</v>
      </c>
      <c r="D1021" s="74" t="s">
        <v>1269</v>
      </c>
      <c r="E1021" s="74" t="s">
        <v>1266</v>
      </c>
      <c r="F1021" s="74" t="s">
        <v>1268</v>
      </c>
      <c r="G1021" s="74" t="s">
        <v>1268</v>
      </c>
    </row>
    <row r="1022" spans="1:7" x14ac:dyDescent="0.2">
      <c r="A1022" s="40">
        <v>4615</v>
      </c>
      <c r="B1022" s="39" t="s">
        <v>292</v>
      </c>
      <c r="C1022" s="40" t="s">
        <v>520</v>
      </c>
      <c r="D1022" s="74" t="s">
        <v>1269</v>
      </c>
      <c r="E1022" s="74" t="s">
        <v>1266</v>
      </c>
      <c r="F1022" s="74" t="s">
        <v>1268</v>
      </c>
      <c r="G1022" s="74" t="s">
        <v>1267</v>
      </c>
    </row>
    <row r="1023" spans="1:7" x14ac:dyDescent="0.2">
      <c r="A1023" s="40">
        <v>4616</v>
      </c>
      <c r="B1023" s="39" t="s">
        <v>293</v>
      </c>
      <c r="C1023" s="40" t="s">
        <v>520</v>
      </c>
      <c r="D1023" s="74" t="s">
        <v>1269</v>
      </c>
      <c r="E1023" s="74" t="s">
        <v>1266</v>
      </c>
      <c r="F1023" s="74" t="s">
        <v>1268</v>
      </c>
      <c r="G1023" s="74" t="s">
        <v>1267</v>
      </c>
    </row>
    <row r="1024" spans="1:7" x14ac:dyDescent="0.2">
      <c r="A1024" s="40">
        <v>4621</v>
      </c>
      <c r="B1024" s="39" t="s">
        <v>294</v>
      </c>
      <c r="C1024" s="40" t="s">
        <v>520</v>
      </c>
      <c r="D1024" s="74" t="s">
        <v>1269</v>
      </c>
      <c r="E1024" s="74" t="s">
        <v>1266</v>
      </c>
      <c r="F1024" s="74" t="s">
        <v>1268</v>
      </c>
      <c r="G1024" s="74" t="s">
        <v>1267</v>
      </c>
    </row>
    <row r="1025" spans="1:7" x14ac:dyDescent="0.2">
      <c r="A1025" s="40">
        <v>4622</v>
      </c>
      <c r="B1025" s="39" t="s">
        <v>295</v>
      </c>
      <c r="C1025" s="40" t="s">
        <v>520</v>
      </c>
      <c r="D1025" s="74" t="s">
        <v>1269</v>
      </c>
      <c r="E1025" s="74" t="s">
        <v>1266</v>
      </c>
      <c r="F1025" s="74" t="s">
        <v>1268</v>
      </c>
      <c r="G1025" s="74" t="s">
        <v>1267</v>
      </c>
    </row>
    <row r="1026" spans="1:7" x14ac:dyDescent="0.2">
      <c r="A1026" s="40">
        <v>4623</v>
      </c>
      <c r="B1026" s="39" t="s">
        <v>296</v>
      </c>
      <c r="C1026" s="40" t="s">
        <v>520</v>
      </c>
      <c r="D1026" s="74" t="s">
        <v>1269</v>
      </c>
      <c r="E1026" s="74" t="s">
        <v>1266</v>
      </c>
      <c r="F1026" s="74" t="s">
        <v>1268</v>
      </c>
      <c r="G1026" s="74" t="s">
        <v>1268</v>
      </c>
    </row>
    <row r="1027" spans="1:7" x14ac:dyDescent="0.2">
      <c r="A1027" s="40">
        <v>4624</v>
      </c>
      <c r="B1027" s="39" t="s">
        <v>297</v>
      </c>
      <c r="C1027" s="40" t="s">
        <v>520</v>
      </c>
      <c r="D1027" s="74" t="s">
        <v>1269</v>
      </c>
      <c r="E1027" s="74" t="s">
        <v>1266</v>
      </c>
      <c r="F1027" s="74" t="s">
        <v>1268</v>
      </c>
      <c r="G1027" s="74" t="s">
        <v>1267</v>
      </c>
    </row>
    <row r="1028" spans="1:7" x14ac:dyDescent="0.2">
      <c r="A1028" s="40">
        <v>4625</v>
      </c>
      <c r="B1028" s="39" t="s">
        <v>298</v>
      </c>
      <c r="C1028" s="40" t="s">
        <v>520</v>
      </c>
      <c r="D1028" s="74" t="s">
        <v>1269</v>
      </c>
      <c r="E1028" s="74" t="s">
        <v>1266</v>
      </c>
      <c r="F1028" s="74" t="s">
        <v>1268</v>
      </c>
      <c r="G1028" s="74" t="s">
        <v>1267</v>
      </c>
    </row>
    <row r="1029" spans="1:7" x14ac:dyDescent="0.2">
      <c r="A1029" s="40">
        <v>4631</v>
      </c>
      <c r="B1029" s="39" t="s">
        <v>299</v>
      </c>
      <c r="C1029" s="40" t="s">
        <v>520</v>
      </c>
      <c r="D1029" s="74" t="s">
        <v>1269</v>
      </c>
      <c r="E1029" s="74" t="s">
        <v>1266</v>
      </c>
      <c r="F1029" s="74" t="s">
        <v>1268</v>
      </c>
      <c r="G1029" s="74" t="s">
        <v>1267</v>
      </c>
    </row>
    <row r="1030" spans="1:7" x14ac:dyDescent="0.2">
      <c r="A1030" s="40">
        <v>4632</v>
      </c>
      <c r="B1030" s="39" t="s">
        <v>300</v>
      </c>
      <c r="C1030" s="40" t="s">
        <v>520</v>
      </c>
      <c r="D1030" s="74" t="s">
        <v>1269</v>
      </c>
      <c r="E1030" s="74" t="s">
        <v>1266</v>
      </c>
      <c r="F1030" s="74" t="s">
        <v>1268</v>
      </c>
      <c r="G1030" s="74" t="s">
        <v>1268</v>
      </c>
    </row>
    <row r="1031" spans="1:7" x14ac:dyDescent="0.2">
      <c r="A1031" s="40">
        <v>4633</v>
      </c>
      <c r="B1031" s="39" t="s">
        <v>301</v>
      </c>
      <c r="C1031" s="40" t="s">
        <v>520</v>
      </c>
      <c r="D1031" s="74" t="s">
        <v>1269</v>
      </c>
      <c r="E1031" s="74" t="s">
        <v>1266</v>
      </c>
      <c r="F1031" s="74" t="s">
        <v>1268</v>
      </c>
      <c r="G1031" s="74" t="s">
        <v>1267</v>
      </c>
    </row>
    <row r="1032" spans="1:7" x14ac:dyDescent="0.2">
      <c r="A1032" s="40">
        <v>4641</v>
      </c>
      <c r="B1032" s="39" t="s">
        <v>302</v>
      </c>
      <c r="C1032" s="40" t="s">
        <v>520</v>
      </c>
      <c r="D1032" s="74" t="s">
        <v>1269</v>
      </c>
      <c r="E1032" s="74" t="s">
        <v>1266</v>
      </c>
      <c r="F1032" s="74" t="s">
        <v>1268</v>
      </c>
      <c r="G1032" s="74" t="s">
        <v>1267</v>
      </c>
    </row>
    <row r="1033" spans="1:7" x14ac:dyDescent="0.2">
      <c r="A1033" s="40">
        <v>4642</v>
      </c>
      <c r="B1033" s="39" t="s">
        <v>303</v>
      </c>
      <c r="C1033" s="40" t="s">
        <v>520</v>
      </c>
      <c r="D1033" s="74" t="s">
        <v>1269</v>
      </c>
      <c r="E1033" s="74" t="s">
        <v>1266</v>
      </c>
      <c r="F1033" s="74" t="s">
        <v>1268</v>
      </c>
      <c r="G1033" s="74" t="s">
        <v>1268</v>
      </c>
    </row>
    <row r="1034" spans="1:7" x14ac:dyDescent="0.2">
      <c r="A1034" s="40">
        <v>4643</v>
      </c>
      <c r="B1034" s="39" t="s">
        <v>304</v>
      </c>
      <c r="C1034" s="40" t="s">
        <v>520</v>
      </c>
      <c r="D1034" s="74" t="s">
        <v>1269</v>
      </c>
      <c r="E1034" s="74" t="s">
        <v>1266</v>
      </c>
      <c r="F1034" s="74" t="s">
        <v>1268</v>
      </c>
      <c r="G1034" s="74" t="s">
        <v>1268</v>
      </c>
    </row>
    <row r="1035" spans="1:7" x14ac:dyDescent="0.2">
      <c r="A1035" s="40">
        <v>4644</v>
      </c>
      <c r="B1035" s="39" t="s">
        <v>305</v>
      </c>
      <c r="C1035" s="40" t="s">
        <v>520</v>
      </c>
      <c r="D1035" s="74" t="s">
        <v>1269</v>
      </c>
      <c r="E1035" s="74" t="s">
        <v>1266</v>
      </c>
      <c r="F1035" s="74" t="s">
        <v>1268</v>
      </c>
      <c r="G1035" s="74" t="s">
        <v>1268</v>
      </c>
    </row>
    <row r="1036" spans="1:7" x14ac:dyDescent="0.2">
      <c r="A1036" s="40">
        <v>4645</v>
      </c>
      <c r="B1036" s="39" t="s">
        <v>306</v>
      </c>
      <c r="C1036" s="40" t="s">
        <v>520</v>
      </c>
      <c r="D1036" s="74" t="s">
        <v>1269</v>
      </c>
      <c r="E1036" s="74" t="s">
        <v>1266</v>
      </c>
      <c r="F1036" s="74" t="s">
        <v>1268</v>
      </c>
      <c r="G1036" s="74" t="s">
        <v>1267</v>
      </c>
    </row>
    <row r="1037" spans="1:7" x14ac:dyDescent="0.2">
      <c r="A1037" s="40">
        <v>4650</v>
      </c>
      <c r="B1037" s="39" t="s">
        <v>307</v>
      </c>
      <c r="C1037" s="40" t="s">
        <v>520</v>
      </c>
      <c r="D1037" s="74" t="s">
        <v>1269</v>
      </c>
      <c r="E1037" s="74" t="s">
        <v>1266</v>
      </c>
      <c r="F1037" s="74" t="s">
        <v>1268</v>
      </c>
      <c r="G1037" s="74" t="s">
        <v>1268</v>
      </c>
    </row>
    <row r="1038" spans="1:7" x14ac:dyDescent="0.2">
      <c r="A1038" s="40">
        <v>4651</v>
      </c>
      <c r="B1038" s="39" t="s">
        <v>308</v>
      </c>
      <c r="C1038" s="40" t="s">
        <v>520</v>
      </c>
      <c r="D1038" s="74" t="s">
        <v>1269</v>
      </c>
      <c r="E1038" s="74" t="s">
        <v>1266</v>
      </c>
      <c r="F1038" s="74" t="s">
        <v>1268</v>
      </c>
      <c r="G1038" s="74" t="s">
        <v>1268</v>
      </c>
    </row>
    <row r="1039" spans="1:7" x14ac:dyDescent="0.2">
      <c r="A1039" s="40">
        <v>4652</v>
      </c>
      <c r="B1039" s="39" t="s">
        <v>309</v>
      </c>
      <c r="C1039" s="40" t="s">
        <v>520</v>
      </c>
      <c r="D1039" s="74" t="s">
        <v>1269</v>
      </c>
      <c r="E1039" s="74" t="s">
        <v>1266</v>
      </c>
      <c r="F1039" s="74" t="s">
        <v>1268</v>
      </c>
      <c r="G1039" s="74" t="s">
        <v>1268</v>
      </c>
    </row>
    <row r="1040" spans="1:7" x14ac:dyDescent="0.2">
      <c r="A1040" s="40">
        <v>4653</v>
      </c>
      <c r="B1040" s="39" t="s">
        <v>310</v>
      </c>
      <c r="C1040" s="40" t="s">
        <v>520</v>
      </c>
      <c r="D1040" s="74" t="s">
        <v>1269</v>
      </c>
      <c r="E1040" s="74" t="s">
        <v>1266</v>
      </c>
      <c r="F1040" s="74" t="s">
        <v>1268</v>
      </c>
      <c r="G1040" s="74" t="s">
        <v>1267</v>
      </c>
    </row>
    <row r="1041" spans="1:7" x14ac:dyDescent="0.2">
      <c r="A1041" s="40">
        <v>4654</v>
      </c>
      <c r="B1041" s="39" t="s">
        <v>311</v>
      </c>
      <c r="C1041" s="40" t="s">
        <v>520</v>
      </c>
      <c r="D1041" s="74" t="s">
        <v>1269</v>
      </c>
      <c r="E1041" s="74" t="s">
        <v>1266</v>
      </c>
      <c r="F1041" s="74" t="s">
        <v>1268</v>
      </c>
      <c r="G1041" s="74" t="s">
        <v>1267</v>
      </c>
    </row>
    <row r="1042" spans="1:7" x14ac:dyDescent="0.2">
      <c r="A1042" s="40">
        <v>4655</v>
      </c>
      <c r="B1042" s="39" t="s">
        <v>312</v>
      </c>
      <c r="C1042" s="40" t="s">
        <v>520</v>
      </c>
      <c r="D1042" s="74" t="s">
        <v>1269</v>
      </c>
      <c r="E1042" s="74" t="s">
        <v>1266</v>
      </c>
      <c r="F1042" s="74" t="s">
        <v>1268</v>
      </c>
      <c r="G1042" s="74" t="s">
        <v>1268</v>
      </c>
    </row>
    <row r="1043" spans="1:7" x14ac:dyDescent="0.2">
      <c r="A1043" s="40">
        <v>4656</v>
      </c>
      <c r="B1043" s="39" t="s">
        <v>313</v>
      </c>
      <c r="C1043" s="40" t="s">
        <v>520</v>
      </c>
      <c r="D1043" s="74" t="s">
        <v>1269</v>
      </c>
      <c r="E1043" s="74" t="s">
        <v>1266</v>
      </c>
      <c r="F1043" s="74" t="s">
        <v>1268</v>
      </c>
      <c r="G1043" s="74" t="s">
        <v>1268</v>
      </c>
    </row>
    <row r="1044" spans="1:7" x14ac:dyDescent="0.2">
      <c r="A1044" s="40">
        <v>4661</v>
      </c>
      <c r="B1044" s="39" t="s">
        <v>314</v>
      </c>
      <c r="C1044" s="40" t="s">
        <v>520</v>
      </c>
      <c r="D1044" s="74" t="s">
        <v>1269</v>
      </c>
      <c r="E1044" s="74" t="s">
        <v>1266</v>
      </c>
      <c r="F1044" s="74" t="s">
        <v>1268</v>
      </c>
      <c r="G1044" s="74" t="s">
        <v>1268</v>
      </c>
    </row>
    <row r="1045" spans="1:7" x14ac:dyDescent="0.2">
      <c r="A1045" s="40">
        <v>4662</v>
      </c>
      <c r="B1045" s="39" t="s">
        <v>315</v>
      </c>
      <c r="C1045" s="40" t="s">
        <v>520</v>
      </c>
      <c r="D1045" s="74" t="s">
        <v>1269</v>
      </c>
      <c r="E1045" s="74" t="s">
        <v>1266</v>
      </c>
      <c r="F1045" s="74" t="s">
        <v>1268</v>
      </c>
      <c r="G1045" s="74" t="s">
        <v>1267</v>
      </c>
    </row>
    <row r="1046" spans="1:7" x14ac:dyDescent="0.2">
      <c r="A1046" s="40">
        <v>4663</v>
      </c>
      <c r="B1046" s="39" t="s">
        <v>316</v>
      </c>
      <c r="C1046" s="40" t="s">
        <v>520</v>
      </c>
      <c r="D1046" s="74" t="s">
        <v>1269</v>
      </c>
      <c r="E1046" s="74" t="s">
        <v>1266</v>
      </c>
      <c r="F1046" s="74" t="s">
        <v>1268</v>
      </c>
      <c r="G1046" s="74" t="s">
        <v>1268</v>
      </c>
    </row>
    <row r="1047" spans="1:7" x14ac:dyDescent="0.2">
      <c r="A1047" s="40">
        <v>4664</v>
      </c>
      <c r="B1047" s="39" t="s">
        <v>317</v>
      </c>
      <c r="C1047" s="40" t="s">
        <v>520</v>
      </c>
      <c r="D1047" s="74" t="s">
        <v>1269</v>
      </c>
      <c r="E1047" s="74" t="s">
        <v>1266</v>
      </c>
      <c r="F1047" s="74" t="s">
        <v>1268</v>
      </c>
      <c r="G1047" s="74" t="s">
        <v>1268</v>
      </c>
    </row>
    <row r="1048" spans="1:7" x14ac:dyDescent="0.2">
      <c r="A1048" s="40">
        <v>4671</v>
      </c>
      <c r="B1048" s="39" t="s">
        <v>318</v>
      </c>
      <c r="C1048" s="40" t="s">
        <v>520</v>
      </c>
      <c r="D1048" s="74" t="s">
        <v>1269</v>
      </c>
      <c r="E1048" s="74" t="s">
        <v>1266</v>
      </c>
      <c r="F1048" s="74" t="s">
        <v>1268</v>
      </c>
      <c r="G1048" s="74" t="s">
        <v>1267</v>
      </c>
    </row>
    <row r="1049" spans="1:7" x14ac:dyDescent="0.2">
      <c r="A1049" s="40">
        <v>4672</v>
      </c>
      <c r="B1049" s="39" t="s">
        <v>319</v>
      </c>
      <c r="C1049" s="40" t="s">
        <v>520</v>
      </c>
      <c r="D1049" s="74" t="s">
        <v>1269</v>
      </c>
      <c r="E1049" s="74" t="s">
        <v>1266</v>
      </c>
      <c r="F1049" s="74" t="s">
        <v>1268</v>
      </c>
      <c r="G1049" s="74" t="s">
        <v>1267</v>
      </c>
    </row>
    <row r="1050" spans="1:7" x14ac:dyDescent="0.2">
      <c r="A1050" s="40">
        <v>4673</v>
      </c>
      <c r="B1050" s="39" t="s">
        <v>320</v>
      </c>
      <c r="C1050" s="40" t="s">
        <v>520</v>
      </c>
      <c r="D1050" s="74" t="s">
        <v>1269</v>
      </c>
      <c r="E1050" s="74" t="s">
        <v>1266</v>
      </c>
      <c r="F1050" s="74" t="s">
        <v>1268</v>
      </c>
      <c r="G1050" s="74" t="s">
        <v>1268</v>
      </c>
    </row>
    <row r="1051" spans="1:7" x14ac:dyDescent="0.2">
      <c r="A1051" s="40">
        <v>4674</v>
      </c>
      <c r="B1051" s="39" t="s">
        <v>321</v>
      </c>
      <c r="C1051" s="40" t="s">
        <v>520</v>
      </c>
      <c r="D1051" s="74" t="s">
        <v>1269</v>
      </c>
      <c r="E1051" s="74" t="s">
        <v>1266</v>
      </c>
      <c r="F1051" s="74" t="s">
        <v>1268</v>
      </c>
      <c r="G1051" s="74" t="s">
        <v>1267</v>
      </c>
    </row>
    <row r="1052" spans="1:7" x14ac:dyDescent="0.2">
      <c r="A1052" s="40">
        <v>4675</v>
      </c>
      <c r="B1052" s="39" t="s">
        <v>322</v>
      </c>
      <c r="C1052" s="40" t="s">
        <v>520</v>
      </c>
      <c r="D1052" s="74" t="s">
        <v>1269</v>
      </c>
      <c r="E1052" s="74" t="s">
        <v>1266</v>
      </c>
      <c r="F1052" s="74" t="s">
        <v>1268</v>
      </c>
      <c r="G1052" s="74" t="s">
        <v>1268</v>
      </c>
    </row>
    <row r="1053" spans="1:7" x14ac:dyDescent="0.2">
      <c r="A1053" s="40">
        <v>4676</v>
      </c>
      <c r="B1053" s="39" t="s">
        <v>323</v>
      </c>
      <c r="C1053" s="40" t="s">
        <v>520</v>
      </c>
      <c r="D1053" s="74" t="s">
        <v>1269</v>
      </c>
      <c r="E1053" s="74" t="s">
        <v>1266</v>
      </c>
      <c r="F1053" s="74" t="s">
        <v>1268</v>
      </c>
      <c r="G1053" s="74" t="s">
        <v>1267</v>
      </c>
    </row>
    <row r="1054" spans="1:7" x14ac:dyDescent="0.2">
      <c r="A1054" s="40">
        <v>4680</v>
      </c>
      <c r="B1054" s="39" t="s">
        <v>324</v>
      </c>
      <c r="C1054" s="40" t="s">
        <v>520</v>
      </c>
      <c r="D1054" s="74" t="s">
        <v>1269</v>
      </c>
      <c r="E1054" s="74" t="s">
        <v>1266</v>
      </c>
      <c r="F1054" s="74" t="s">
        <v>1268</v>
      </c>
      <c r="G1054" s="74" t="s">
        <v>1268</v>
      </c>
    </row>
    <row r="1055" spans="1:7" x14ac:dyDescent="0.2">
      <c r="A1055" s="40">
        <v>4681</v>
      </c>
      <c r="B1055" s="39" t="s">
        <v>325</v>
      </c>
      <c r="C1055" s="40" t="s">
        <v>520</v>
      </c>
      <c r="D1055" s="74" t="s">
        <v>1269</v>
      </c>
      <c r="E1055" s="74" t="s">
        <v>1266</v>
      </c>
      <c r="F1055" s="74" t="s">
        <v>1268</v>
      </c>
      <c r="G1055" s="74" t="s">
        <v>1267</v>
      </c>
    </row>
    <row r="1056" spans="1:7" x14ac:dyDescent="0.2">
      <c r="A1056" s="40">
        <v>4682</v>
      </c>
      <c r="B1056" s="39" t="s">
        <v>326</v>
      </c>
      <c r="C1056" s="40" t="s">
        <v>520</v>
      </c>
      <c r="D1056" s="74" t="s">
        <v>1269</v>
      </c>
      <c r="E1056" s="74" t="s">
        <v>1266</v>
      </c>
      <c r="F1056" s="74" t="s">
        <v>1268</v>
      </c>
      <c r="G1056" s="74" t="s">
        <v>1267</v>
      </c>
    </row>
    <row r="1057" spans="1:7" x14ac:dyDescent="0.2">
      <c r="A1057" s="40">
        <v>4690</v>
      </c>
      <c r="B1057" s="39" t="s">
        <v>327</v>
      </c>
      <c r="C1057" s="40" t="s">
        <v>520</v>
      </c>
      <c r="D1057" s="74" t="s">
        <v>1269</v>
      </c>
      <c r="E1057" s="74" t="s">
        <v>1266</v>
      </c>
      <c r="F1057" s="74" t="s">
        <v>1268</v>
      </c>
      <c r="G1057" s="74" t="s">
        <v>1268</v>
      </c>
    </row>
    <row r="1058" spans="1:7" x14ac:dyDescent="0.2">
      <c r="A1058" s="40">
        <v>4691</v>
      </c>
      <c r="B1058" s="39" t="s">
        <v>328</v>
      </c>
      <c r="C1058" s="40" t="s">
        <v>520</v>
      </c>
      <c r="D1058" s="74" t="s">
        <v>1269</v>
      </c>
      <c r="E1058" s="74" t="s">
        <v>1266</v>
      </c>
      <c r="F1058" s="74" t="s">
        <v>1268</v>
      </c>
      <c r="G1058" s="74" t="s">
        <v>1267</v>
      </c>
    </row>
    <row r="1059" spans="1:7" x14ac:dyDescent="0.2">
      <c r="A1059" s="40">
        <v>4692</v>
      </c>
      <c r="B1059" s="39" t="s">
        <v>329</v>
      </c>
      <c r="C1059" s="40" t="s">
        <v>520</v>
      </c>
      <c r="D1059" s="74" t="s">
        <v>1269</v>
      </c>
      <c r="E1059" s="74" t="s">
        <v>1266</v>
      </c>
      <c r="F1059" s="74" t="s">
        <v>1268</v>
      </c>
      <c r="G1059" s="74" t="s">
        <v>1267</v>
      </c>
    </row>
    <row r="1060" spans="1:7" x14ac:dyDescent="0.2">
      <c r="A1060" s="40">
        <v>4693</v>
      </c>
      <c r="B1060" s="39" t="s">
        <v>330</v>
      </c>
      <c r="C1060" s="40" t="s">
        <v>520</v>
      </c>
      <c r="D1060" s="74" t="s">
        <v>1269</v>
      </c>
      <c r="E1060" s="74" t="s">
        <v>1266</v>
      </c>
      <c r="F1060" s="74" t="s">
        <v>1268</v>
      </c>
      <c r="G1060" s="74" t="s">
        <v>1267</v>
      </c>
    </row>
    <row r="1061" spans="1:7" x14ac:dyDescent="0.2">
      <c r="A1061" s="40">
        <v>4694</v>
      </c>
      <c r="B1061" s="39" t="s">
        <v>331</v>
      </c>
      <c r="C1061" s="40" t="s">
        <v>520</v>
      </c>
      <c r="D1061" s="74" t="s">
        <v>1269</v>
      </c>
      <c r="E1061" s="74" t="s">
        <v>1266</v>
      </c>
      <c r="F1061" s="74" t="s">
        <v>1268</v>
      </c>
      <c r="G1061" s="74" t="s">
        <v>1268</v>
      </c>
    </row>
    <row r="1062" spans="1:7" x14ac:dyDescent="0.2">
      <c r="A1062" s="40">
        <v>4701</v>
      </c>
      <c r="B1062" s="39" t="s">
        <v>332</v>
      </c>
      <c r="C1062" s="40" t="s">
        <v>520</v>
      </c>
      <c r="D1062" s="74" t="s">
        <v>1269</v>
      </c>
      <c r="E1062" s="74" t="s">
        <v>1266</v>
      </c>
      <c r="F1062" s="74" t="s">
        <v>1268</v>
      </c>
      <c r="G1062" s="74" t="s">
        <v>1268</v>
      </c>
    </row>
    <row r="1063" spans="1:7" x14ac:dyDescent="0.2">
      <c r="A1063" s="40">
        <v>4702</v>
      </c>
      <c r="B1063" s="39" t="s">
        <v>333</v>
      </c>
      <c r="C1063" s="40" t="s">
        <v>520</v>
      </c>
      <c r="D1063" s="74" t="s">
        <v>1269</v>
      </c>
      <c r="E1063" s="74" t="s">
        <v>1266</v>
      </c>
      <c r="F1063" s="74" t="s">
        <v>1268</v>
      </c>
      <c r="G1063" s="74" t="s">
        <v>1267</v>
      </c>
    </row>
    <row r="1064" spans="1:7" x14ac:dyDescent="0.2">
      <c r="A1064" s="40">
        <v>4707</v>
      </c>
      <c r="B1064" s="39" t="s">
        <v>334</v>
      </c>
      <c r="C1064" s="40" t="s">
        <v>520</v>
      </c>
      <c r="D1064" s="74" t="s">
        <v>1269</v>
      </c>
      <c r="E1064" s="74" t="s">
        <v>1266</v>
      </c>
      <c r="F1064" s="74" t="s">
        <v>1268</v>
      </c>
      <c r="G1064" s="74" t="s">
        <v>1267</v>
      </c>
    </row>
    <row r="1065" spans="1:7" x14ac:dyDescent="0.2">
      <c r="A1065" s="40">
        <v>4710</v>
      </c>
      <c r="B1065" s="39" t="s">
        <v>335</v>
      </c>
      <c r="C1065" s="40" t="s">
        <v>520</v>
      </c>
      <c r="D1065" s="74" t="s">
        <v>1269</v>
      </c>
      <c r="E1065" s="74" t="s">
        <v>1266</v>
      </c>
      <c r="F1065" s="74" t="s">
        <v>1268</v>
      </c>
      <c r="G1065" s="74" t="s">
        <v>1268</v>
      </c>
    </row>
    <row r="1066" spans="1:7" x14ac:dyDescent="0.2">
      <c r="A1066" s="40">
        <v>4712</v>
      </c>
      <c r="B1066" s="39" t="s">
        <v>336</v>
      </c>
      <c r="C1066" s="40" t="s">
        <v>520</v>
      </c>
      <c r="D1066" s="74" t="s">
        <v>1269</v>
      </c>
      <c r="E1066" s="74" t="s">
        <v>1266</v>
      </c>
      <c r="F1066" s="74" t="s">
        <v>1268</v>
      </c>
      <c r="G1066" s="74" t="s">
        <v>1267</v>
      </c>
    </row>
    <row r="1067" spans="1:7" x14ac:dyDescent="0.2">
      <c r="A1067" s="40">
        <v>4713</v>
      </c>
      <c r="B1067" s="39" t="s">
        <v>337</v>
      </c>
      <c r="C1067" s="40" t="s">
        <v>520</v>
      </c>
      <c r="D1067" s="74" t="s">
        <v>1269</v>
      </c>
      <c r="E1067" s="74" t="s">
        <v>1266</v>
      </c>
      <c r="F1067" s="74" t="s">
        <v>1268</v>
      </c>
      <c r="G1067" s="74" t="s">
        <v>1268</v>
      </c>
    </row>
    <row r="1068" spans="1:7" x14ac:dyDescent="0.2">
      <c r="A1068" s="40">
        <v>4714</v>
      </c>
      <c r="B1068" s="39" t="s">
        <v>338</v>
      </c>
      <c r="C1068" s="40" t="s">
        <v>520</v>
      </c>
      <c r="D1068" s="74" t="s">
        <v>1269</v>
      </c>
      <c r="E1068" s="74" t="s">
        <v>1266</v>
      </c>
      <c r="F1068" s="74" t="s">
        <v>1268</v>
      </c>
      <c r="G1068" s="74" t="s">
        <v>1267</v>
      </c>
    </row>
    <row r="1069" spans="1:7" x14ac:dyDescent="0.2">
      <c r="A1069" s="40">
        <v>4715</v>
      </c>
      <c r="B1069" s="39" t="s">
        <v>339</v>
      </c>
      <c r="C1069" s="40" t="s">
        <v>520</v>
      </c>
      <c r="D1069" s="74" t="s">
        <v>1269</v>
      </c>
      <c r="E1069" s="74" t="s">
        <v>1266</v>
      </c>
      <c r="F1069" s="74" t="s">
        <v>1268</v>
      </c>
      <c r="G1069" s="74" t="s">
        <v>1267</v>
      </c>
    </row>
    <row r="1070" spans="1:7" x14ac:dyDescent="0.2">
      <c r="A1070" s="40">
        <v>4716</v>
      </c>
      <c r="B1070" s="39" t="s">
        <v>340</v>
      </c>
      <c r="C1070" s="40" t="s">
        <v>520</v>
      </c>
      <c r="D1070" s="74" t="s">
        <v>1269</v>
      </c>
      <c r="E1070" s="74" t="s">
        <v>1266</v>
      </c>
      <c r="F1070" s="74" t="s">
        <v>1268</v>
      </c>
      <c r="G1070" s="74" t="s">
        <v>1267</v>
      </c>
    </row>
    <row r="1071" spans="1:7" x14ac:dyDescent="0.2">
      <c r="A1071" s="40">
        <v>4720</v>
      </c>
      <c r="B1071" s="39" t="s">
        <v>341</v>
      </c>
      <c r="C1071" s="40" t="s">
        <v>520</v>
      </c>
      <c r="D1071" s="74" t="s">
        <v>1269</v>
      </c>
      <c r="E1071" s="74" t="s">
        <v>1266</v>
      </c>
      <c r="F1071" s="74" t="s">
        <v>1268</v>
      </c>
      <c r="G1071" s="74" t="s">
        <v>1268</v>
      </c>
    </row>
    <row r="1072" spans="1:7" x14ac:dyDescent="0.2">
      <c r="A1072" s="40">
        <v>4721</v>
      </c>
      <c r="B1072" s="39" t="s">
        <v>342</v>
      </c>
      <c r="C1072" s="40" t="s">
        <v>520</v>
      </c>
      <c r="D1072" s="74" t="s">
        <v>1269</v>
      </c>
      <c r="E1072" s="74" t="s">
        <v>1266</v>
      </c>
      <c r="F1072" s="74" t="s">
        <v>1268</v>
      </c>
      <c r="G1072" s="74" t="s">
        <v>1267</v>
      </c>
    </row>
    <row r="1073" spans="1:7" x14ac:dyDescent="0.2">
      <c r="A1073" s="40">
        <v>4722</v>
      </c>
      <c r="B1073" s="39" t="s">
        <v>343</v>
      </c>
      <c r="C1073" s="40" t="s">
        <v>520</v>
      </c>
      <c r="D1073" s="74" t="s">
        <v>1269</v>
      </c>
      <c r="E1073" s="74" t="s">
        <v>1266</v>
      </c>
      <c r="F1073" s="74" t="s">
        <v>1268</v>
      </c>
      <c r="G1073" s="74" t="s">
        <v>1268</v>
      </c>
    </row>
    <row r="1074" spans="1:7" x14ac:dyDescent="0.2">
      <c r="A1074" s="40">
        <v>4723</v>
      </c>
      <c r="B1074" s="39" t="s">
        <v>344</v>
      </c>
      <c r="C1074" s="40" t="s">
        <v>520</v>
      </c>
      <c r="D1074" s="74" t="s">
        <v>1269</v>
      </c>
      <c r="E1074" s="74" t="s">
        <v>1266</v>
      </c>
      <c r="F1074" s="74" t="s">
        <v>1268</v>
      </c>
      <c r="G1074" s="74" t="s">
        <v>1267</v>
      </c>
    </row>
    <row r="1075" spans="1:7" x14ac:dyDescent="0.2">
      <c r="A1075" s="40">
        <v>4724</v>
      </c>
      <c r="B1075" s="39" t="s">
        <v>345</v>
      </c>
      <c r="C1075" s="40" t="s">
        <v>520</v>
      </c>
      <c r="D1075" s="74" t="s">
        <v>1269</v>
      </c>
      <c r="E1075" s="74" t="s">
        <v>1266</v>
      </c>
      <c r="F1075" s="74" t="s">
        <v>1268</v>
      </c>
      <c r="G1075" s="74" t="s">
        <v>1268</v>
      </c>
    </row>
    <row r="1076" spans="1:7" x14ac:dyDescent="0.2">
      <c r="A1076" s="40">
        <v>4725</v>
      </c>
      <c r="B1076" s="39" t="s">
        <v>346</v>
      </c>
      <c r="C1076" s="40" t="s">
        <v>520</v>
      </c>
      <c r="D1076" s="74" t="s">
        <v>1269</v>
      </c>
      <c r="E1076" s="74" t="s">
        <v>1266</v>
      </c>
      <c r="F1076" s="74" t="s">
        <v>1268</v>
      </c>
      <c r="G1076" s="74" t="s">
        <v>1267</v>
      </c>
    </row>
    <row r="1077" spans="1:7" x14ac:dyDescent="0.2">
      <c r="A1077" s="40">
        <v>4730</v>
      </c>
      <c r="B1077" s="39" t="s">
        <v>347</v>
      </c>
      <c r="C1077" s="40" t="s">
        <v>520</v>
      </c>
      <c r="D1077" s="74" t="s">
        <v>1269</v>
      </c>
      <c r="E1077" s="74" t="s">
        <v>1266</v>
      </c>
      <c r="F1077" s="74" t="s">
        <v>1268</v>
      </c>
      <c r="G1077" s="74" t="s">
        <v>1268</v>
      </c>
    </row>
    <row r="1078" spans="1:7" x14ac:dyDescent="0.2">
      <c r="A1078" s="40">
        <v>4731</v>
      </c>
      <c r="B1078" s="39" t="s">
        <v>348</v>
      </c>
      <c r="C1078" s="40" t="s">
        <v>520</v>
      </c>
      <c r="D1078" s="74" t="s">
        <v>1269</v>
      </c>
      <c r="E1078" s="74" t="s">
        <v>1266</v>
      </c>
      <c r="F1078" s="74" t="s">
        <v>1268</v>
      </c>
      <c r="G1078" s="74" t="s">
        <v>1268</v>
      </c>
    </row>
    <row r="1079" spans="1:7" x14ac:dyDescent="0.2">
      <c r="A1079" s="40">
        <v>4732</v>
      </c>
      <c r="B1079" s="39" t="s">
        <v>1718</v>
      </c>
      <c r="C1079" s="40" t="s">
        <v>520</v>
      </c>
      <c r="D1079" s="74" t="s">
        <v>1269</v>
      </c>
      <c r="E1079" s="74" t="s">
        <v>1266</v>
      </c>
      <c r="F1079" s="74" t="s">
        <v>1268</v>
      </c>
      <c r="G1079" s="74" t="s">
        <v>1267</v>
      </c>
    </row>
    <row r="1080" spans="1:7" x14ac:dyDescent="0.2">
      <c r="A1080" s="40">
        <v>4733</v>
      </c>
      <c r="B1080" s="39" t="s">
        <v>349</v>
      </c>
      <c r="C1080" s="40" t="s">
        <v>520</v>
      </c>
      <c r="D1080" s="74" t="s">
        <v>1269</v>
      </c>
      <c r="E1080" s="74" t="s">
        <v>1266</v>
      </c>
      <c r="F1080" s="74" t="s">
        <v>1268</v>
      </c>
      <c r="G1080" s="74" t="s">
        <v>1267</v>
      </c>
    </row>
    <row r="1081" spans="1:7" x14ac:dyDescent="0.2">
      <c r="A1081" s="40">
        <v>4741</v>
      </c>
      <c r="B1081" s="39" t="s">
        <v>350</v>
      </c>
      <c r="C1081" s="40" t="s">
        <v>520</v>
      </c>
      <c r="D1081" s="74" t="s">
        <v>1269</v>
      </c>
      <c r="E1081" s="74" t="s">
        <v>1266</v>
      </c>
      <c r="F1081" s="74" t="s">
        <v>1268</v>
      </c>
      <c r="G1081" s="74" t="s">
        <v>1267</v>
      </c>
    </row>
    <row r="1082" spans="1:7" x14ac:dyDescent="0.2">
      <c r="A1082" s="40">
        <v>4742</v>
      </c>
      <c r="B1082" s="39" t="s">
        <v>351</v>
      </c>
      <c r="C1082" s="40" t="s">
        <v>520</v>
      </c>
      <c r="D1082" s="74" t="s">
        <v>1269</v>
      </c>
      <c r="E1082" s="74" t="s">
        <v>1266</v>
      </c>
      <c r="F1082" s="74" t="s">
        <v>1268</v>
      </c>
      <c r="G1082" s="74" t="s">
        <v>1267</v>
      </c>
    </row>
    <row r="1083" spans="1:7" x14ac:dyDescent="0.2">
      <c r="A1083" s="40">
        <v>4743</v>
      </c>
      <c r="B1083" s="39" t="s">
        <v>352</v>
      </c>
      <c r="C1083" s="40" t="s">
        <v>520</v>
      </c>
      <c r="D1083" s="74" t="s">
        <v>1269</v>
      </c>
      <c r="E1083" s="74" t="s">
        <v>1266</v>
      </c>
      <c r="F1083" s="74" t="s">
        <v>1268</v>
      </c>
      <c r="G1083" s="74" t="s">
        <v>1267</v>
      </c>
    </row>
    <row r="1084" spans="1:7" x14ac:dyDescent="0.2">
      <c r="A1084" s="40">
        <v>4751</v>
      </c>
      <c r="B1084" s="39" t="s">
        <v>353</v>
      </c>
      <c r="C1084" s="40" t="s">
        <v>520</v>
      </c>
      <c r="D1084" s="74" t="s">
        <v>1269</v>
      </c>
      <c r="E1084" s="74" t="s">
        <v>1266</v>
      </c>
      <c r="F1084" s="74" t="s">
        <v>1268</v>
      </c>
      <c r="G1084" s="74" t="s">
        <v>1267</v>
      </c>
    </row>
    <row r="1085" spans="1:7" x14ac:dyDescent="0.2">
      <c r="A1085" s="40">
        <v>4752</v>
      </c>
      <c r="B1085" s="39" t="s">
        <v>354</v>
      </c>
      <c r="C1085" s="40" t="s">
        <v>520</v>
      </c>
      <c r="D1085" s="74" t="s">
        <v>1269</v>
      </c>
      <c r="E1085" s="74" t="s">
        <v>1266</v>
      </c>
      <c r="F1085" s="74" t="s">
        <v>1268</v>
      </c>
      <c r="G1085" s="74" t="s">
        <v>1268</v>
      </c>
    </row>
    <row r="1086" spans="1:7" x14ac:dyDescent="0.2">
      <c r="A1086" s="40">
        <v>4753</v>
      </c>
      <c r="B1086" s="39" t="s">
        <v>355</v>
      </c>
      <c r="C1086" s="40" t="s">
        <v>520</v>
      </c>
      <c r="D1086" s="74" t="s">
        <v>1269</v>
      </c>
      <c r="E1086" s="74" t="s">
        <v>1266</v>
      </c>
      <c r="F1086" s="74" t="s">
        <v>1268</v>
      </c>
      <c r="G1086" s="74" t="s">
        <v>1268</v>
      </c>
    </row>
    <row r="1087" spans="1:7" x14ac:dyDescent="0.2">
      <c r="A1087" s="40">
        <v>4754</v>
      </c>
      <c r="B1087" s="39" t="s">
        <v>356</v>
      </c>
      <c r="C1087" s="40" t="s">
        <v>520</v>
      </c>
      <c r="D1087" s="74" t="s">
        <v>1269</v>
      </c>
      <c r="E1087" s="74" t="s">
        <v>1266</v>
      </c>
      <c r="F1087" s="74" t="s">
        <v>1268</v>
      </c>
      <c r="G1087" s="74" t="s">
        <v>1267</v>
      </c>
    </row>
    <row r="1088" spans="1:7" x14ac:dyDescent="0.2">
      <c r="A1088" s="40">
        <v>4755</v>
      </c>
      <c r="B1088" s="39" t="s">
        <v>357</v>
      </c>
      <c r="C1088" s="40" t="s">
        <v>520</v>
      </c>
      <c r="D1088" s="74" t="s">
        <v>1269</v>
      </c>
      <c r="E1088" s="74" t="s">
        <v>1266</v>
      </c>
      <c r="F1088" s="74" t="s">
        <v>1268</v>
      </c>
      <c r="G1088" s="74" t="s">
        <v>1267</v>
      </c>
    </row>
    <row r="1089" spans="1:7" x14ac:dyDescent="0.2">
      <c r="A1089" s="40">
        <v>4760</v>
      </c>
      <c r="B1089" s="39" t="s">
        <v>358</v>
      </c>
      <c r="C1089" s="40" t="s">
        <v>520</v>
      </c>
      <c r="D1089" s="74" t="s">
        <v>1269</v>
      </c>
      <c r="E1089" s="74" t="s">
        <v>1266</v>
      </c>
      <c r="F1089" s="74" t="s">
        <v>1268</v>
      </c>
      <c r="G1089" s="74" t="s">
        <v>1268</v>
      </c>
    </row>
    <row r="1090" spans="1:7" x14ac:dyDescent="0.2">
      <c r="A1090" s="40">
        <v>4761</v>
      </c>
      <c r="B1090" s="39" t="s">
        <v>359</v>
      </c>
      <c r="C1090" s="40" t="s">
        <v>520</v>
      </c>
      <c r="D1090" s="74" t="s">
        <v>1269</v>
      </c>
      <c r="E1090" s="74" t="s">
        <v>1266</v>
      </c>
      <c r="F1090" s="74" t="s">
        <v>1268</v>
      </c>
      <c r="G1090" s="74" t="s">
        <v>1267</v>
      </c>
    </row>
    <row r="1091" spans="1:7" x14ac:dyDescent="0.2">
      <c r="A1091" s="40">
        <v>4762</v>
      </c>
      <c r="B1091" s="39" t="s">
        <v>360</v>
      </c>
      <c r="C1091" s="40" t="s">
        <v>520</v>
      </c>
      <c r="D1091" s="74" t="s">
        <v>1269</v>
      </c>
      <c r="E1091" s="74" t="s">
        <v>1266</v>
      </c>
      <c r="F1091" s="74" t="s">
        <v>1268</v>
      </c>
      <c r="G1091" s="74" t="s">
        <v>1267</v>
      </c>
    </row>
    <row r="1092" spans="1:7" x14ac:dyDescent="0.2">
      <c r="A1092" s="40">
        <v>4770</v>
      </c>
      <c r="B1092" s="39" t="s">
        <v>361</v>
      </c>
      <c r="C1092" s="40" t="s">
        <v>520</v>
      </c>
      <c r="D1092" s="74" t="s">
        <v>1269</v>
      </c>
      <c r="E1092" s="74" t="s">
        <v>1266</v>
      </c>
      <c r="F1092" s="74" t="s">
        <v>1268</v>
      </c>
      <c r="G1092" s="74" t="s">
        <v>1268</v>
      </c>
    </row>
    <row r="1093" spans="1:7" x14ac:dyDescent="0.2">
      <c r="A1093" s="40">
        <v>4771</v>
      </c>
      <c r="B1093" s="39" t="s">
        <v>362</v>
      </c>
      <c r="C1093" s="40" t="s">
        <v>520</v>
      </c>
      <c r="D1093" s="74" t="s">
        <v>1269</v>
      </c>
      <c r="E1093" s="74" t="s">
        <v>1266</v>
      </c>
      <c r="F1093" s="74" t="s">
        <v>1268</v>
      </c>
      <c r="G1093" s="74" t="s">
        <v>1267</v>
      </c>
    </row>
    <row r="1094" spans="1:7" x14ac:dyDescent="0.2">
      <c r="A1094" s="40">
        <v>4772</v>
      </c>
      <c r="B1094" s="39" t="s">
        <v>363</v>
      </c>
      <c r="C1094" s="40" t="s">
        <v>520</v>
      </c>
      <c r="D1094" s="74" t="s">
        <v>1269</v>
      </c>
      <c r="E1094" s="74" t="s">
        <v>1266</v>
      </c>
      <c r="F1094" s="74" t="s">
        <v>1268</v>
      </c>
      <c r="G1094" s="74" t="s">
        <v>1267</v>
      </c>
    </row>
    <row r="1095" spans="1:7" x14ac:dyDescent="0.2">
      <c r="A1095" s="40">
        <v>4773</v>
      </c>
      <c r="B1095" s="39" t="s">
        <v>364</v>
      </c>
      <c r="C1095" s="40" t="s">
        <v>520</v>
      </c>
      <c r="D1095" s="74" t="s">
        <v>1269</v>
      </c>
      <c r="E1095" s="74" t="s">
        <v>1266</v>
      </c>
      <c r="F1095" s="74" t="s">
        <v>1268</v>
      </c>
      <c r="G1095" s="74" t="s">
        <v>1267</v>
      </c>
    </row>
    <row r="1096" spans="1:7" x14ac:dyDescent="0.2">
      <c r="A1096" s="40">
        <v>4774</v>
      </c>
      <c r="B1096" s="39" t="s">
        <v>365</v>
      </c>
      <c r="C1096" s="40" t="s">
        <v>520</v>
      </c>
      <c r="D1096" s="74" t="s">
        <v>1269</v>
      </c>
      <c r="E1096" s="74" t="s">
        <v>1266</v>
      </c>
      <c r="F1096" s="74" t="s">
        <v>1268</v>
      </c>
      <c r="G1096" s="74" t="s">
        <v>1267</v>
      </c>
    </row>
    <row r="1097" spans="1:7" x14ac:dyDescent="0.2">
      <c r="A1097" s="40">
        <v>4775</v>
      </c>
      <c r="B1097" s="39" t="s">
        <v>366</v>
      </c>
      <c r="C1097" s="40" t="s">
        <v>520</v>
      </c>
      <c r="D1097" s="74" t="s">
        <v>1269</v>
      </c>
      <c r="E1097" s="74" t="s">
        <v>1266</v>
      </c>
      <c r="F1097" s="74" t="s">
        <v>1268</v>
      </c>
      <c r="G1097" s="74" t="s">
        <v>1268</v>
      </c>
    </row>
    <row r="1098" spans="1:7" x14ac:dyDescent="0.2">
      <c r="A1098" s="40">
        <v>4776</v>
      </c>
      <c r="B1098" s="39" t="s">
        <v>367</v>
      </c>
      <c r="C1098" s="40" t="s">
        <v>520</v>
      </c>
      <c r="D1098" s="74" t="s">
        <v>1269</v>
      </c>
      <c r="E1098" s="74" t="s">
        <v>1266</v>
      </c>
      <c r="F1098" s="74" t="s">
        <v>1268</v>
      </c>
      <c r="G1098" s="74" t="s">
        <v>1267</v>
      </c>
    </row>
    <row r="1099" spans="1:7" x14ac:dyDescent="0.2">
      <c r="A1099" s="40">
        <v>4777</v>
      </c>
      <c r="B1099" s="39" t="s">
        <v>368</v>
      </c>
      <c r="C1099" s="40" t="s">
        <v>520</v>
      </c>
      <c r="D1099" s="74" t="s">
        <v>1269</v>
      </c>
      <c r="E1099" s="74" t="s">
        <v>1266</v>
      </c>
      <c r="F1099" s="74" t="s">
        <v>1268</v>
      </c>
      <c r="G1099" s="74" t="s">
        <v>1267</v>
      </c>
    </row>
    <row r="1100" spans="1:7" x14ac:dyDescent="0.2">
      <c r="A1100" s="40">
        <v>4780</v>
      </c>
      <c r="B1100" s="39" t="s">
        <v>369</v>
      </c>
      <c r="C1100" s="40" t="s">
        <v>520</v>
      </c>
      <c r="D1100" s="74" t="s">
        <v>1269</v>
      </c>
      <c r="E1100" s="74" t="s">
        <v>1266</v>
      </c>
      <c r="F1100" s="74" t="s">
        <v>1268</v>
      </c>
      <c r="G1100" s="74" t="s">
        <v>1268</v>
      </c>
    </row>
    <row r="1101" spans="1:7" x14ac:dyDescent="0.2">
      <c r="A1101" s="40">
        <v>4782</v>
      </c>
      <c r="B1101" s="39" t="s">
        <v>370</v>
      </c>
      <c r="C1101" s="40" t="s">
        <v>520</v>
      </c>
      <c r="D1101" s="74" t="s">
        <v>1269</v>
      </c>
      <c r="E1101" s="74" t="s">
        <v>1266</v>
      </c>
      <c r="F1101" s="74" t="s">
        <v>1268</v>
      </c>
      <c r="G1101" s="74" t="s">
        <v>1267</v>
      </c>
    </row>
    <row r="1102" spans="1:7" x14ac:dyDescent="0.2">
      <c r="A1102" s="40">
        <v>4783</v>
      </c>
      <c r="B1102" s="39" t="s">
        <v>371</v>
      </c>
      <c r="C1102" s="40" t="s">
        <v>520</v>
      </c>
      <c r="D1102" s="74" t="s">
        <v>1269</v>
      </c>
      <c r="E1102" s="74" t="s">
        <v>1266</v>
      </c>
      <c r="F1102" s="74" t="s">
        <v>1268</v>
      </c>
      <c r="G1102" s="74" t="s">
        <v>1267</v>
      </c>
    </row>
    <row r="1103" spans="1:7" x14ac:dyDescent="0.2">
      <c r="A1103" s="40">
        <v>4784</v>
      </c>
      <c r="B1103" s="39" t="s">
        <v>372</v>
      </c>
      <c r="C1103" s="40" t="s">
        <v>520</v>
      </c>
      <c r="D1103" s="74" t="s">
        <v>1269</v>
      </c>
      <c r="E1103" s="74" t="s">
        <v>1266</v>
      </c>
      <c r="F1103" s="74" t="s">
        <v>1268</v>
      </c>
      <c r="G1103" s="74" t="s">
        <v>1268</v>
      </c>
    </row>
    <row r="1104" spans="1:7" x14ac:dyDescent="0.2">
      <c r="A1104" s="40">
        <v>4785</v>
      </c>
      <c r="B1104" s="39" t="s">
        <v>373</v>
      </c>
      <c r="C1104" s="40" t="s">
        <v>520</v>
      </c>
      <c r="D1104" s="74" t="s">
        <v>1269</v>
      </c>
      <c r="E1104" s="74" t="s">
        <v>1266</v>
      </c>
      <c r="F1104" s="74" t="s">
        <v>1268</v>
      </c>
      <c r="G1104" s="74" t="s">
        <v>1267</v>
      </c>
    </row>
    <row r="1105" spans="1:7" x14ac:dyDescent="0.2">
      <c r="A1105" s="40">
        <v>4786</v>
      </c>
      <c r="B1105" s="39" t="s">
        <v>374</v>
      </c>
      <c r="C1105" s="40" t="s">
        <v>520</v>
      </c>
      <c r="D1105" s="74" t="s">
        <v>1269</v>
      </c>
      <c r="E1105" s="74" t="s">
        <v>1266</v>
      </c>
      <c r="F1105" s="74" t="s">
        <v>1268</v>
      </c>
      <c r="G1105" s="74" t="s">
        <v>1267</v>
      </c>
    </row>
    <row r="1106" spans="1:7" x14ac:dyDescent="0.2">
      <c r="A1106" s="40">
        <v>4791</v>
      </c>
      <c r="B1106" s="39" t="s">
        <v>375</v>
      </c>
      <c r="C1106" s="40" t="s">
        <v>520</v>
      </c>
      <c r="D1106" s="74" t="s">
        <v>1269</v>
      </c>
      <c r="E1106" s="74" t="s">
        <v>1266</v>
      </c>
      <c r="F1106" s="74" t="s">
        <v>1268</v>
      </c>
      <c r="G1106" s="74" t="s">
        <v>1268</v>
      </c>
    </row>
    <row r="1107" spans="1:7" x14ac:dyDescent="0.2">
      <c r="A1107" s="40">
        <v>4792</v>
      </c>
      <c r="B1107" s="39" t="s">
        <v>376</v>
      </c>
      <c r="C1107" s="40" t="s">
        <v>520</v>
      </c>
      <c r="D1107" s="74" t="s">
        <v>1269</v>
      </c>
      <c r="E1107" s="74" t="s">
        <v>1266</v>
      </c>
      <c r="F1107" s="74" t="s">
        <v>1268</v>
      </c>
      <c r="G1107" s="74" t="s">
        <v>1268</v>
      </c>
    </row>
    <row r="1108" spans="1:7" x14ac:dyDescent="0.2">
      <c r="A1108" s="40">
        <v>4793</v>
      </c>
      <c r="B1108" s="39" t="s">
        <v>377</v>
      </c>
      <c r="C1108" s="40" t="s">
        <v>520</v>
      </c>
      <c r="D1108" s="74" t="s">
        <v>1269</v>
      </c>
      <c r="E1108" s="74" t="s">
        <v>1266</v>
      </c>
      <c r="F1108" s="74" t="s">
        <v>1268</v>
      </c>
      <c r="G1108" s="74" t="s">
        <v>1267</v>
      </c>
    </row>
    <row r="1109" spans="1:7" x14ac:dyDescent="0.2">
      <c r="A1109" s="40">
        <v>4794</v>
      </c>
      <c r="B1109" s="39" t="s">
        <v>378</v>
      </c>
      <c r="C1109" s="40" t="s">
        <v>520</v>
      </c>
      <c r="D1109" s="74" t="s">
        <v>1269</v>
      </c>
      <c r="E1109" s="74" t="s">
        <v>1266</v>
      </c>
      <c r="F1109" s="74" t="s">
        <v>1268</v>
      </c>
      <c r="G1109" s="74" t="s">
        <v>1267</v>
      </c>
    </row>
    <row r="1110" spans="1:7" x14ac:dyDescent="0.2">
      <c r="A1110" s="40">
        <v>4800</v>
      </c>
      <c r="B1110" s="39" t="s">
        <v>379</v>
      </c>
      <c r="C1110" s="40" t="s">
        <v>520</v>
      </c>
      <c r="D1110" s="74" t="s">
        <v>1269</v>
      </c>
      <c r="E1110" s="74" t="s">
        <v>1266</v>
      </c>
      <c r="F1110" s="74" t="s">
        <v>1268</v>
      </c>
      <c r="G1110" s="74" t="s">
        <v>1268</v>
      </c>
    </row>
    <row r="1111" spans="1:7" x14ac:dyDescent="0.2">
      <c r="A1111" s="40">
        <v>4801</v>
      </c>
      <c r="B1111" s="39" t="s">
        <v>380</v>
      </c>
      <c r="C1111" s="40" t="s">
        <v>520</v>
      </c>
      <c r="D1111" s="74" t="s">
        <v>1269</v>
      </c>
      <c r="E1111" s="74" t="s">
        <v>1266</v>
      </c>
      <c r="F1111" s="74" t="s">
        <v>1268</v>
      </c>
      <c r="G1111" s="74" t="s">
        <v>1267</v>
      </c>
    </row>
    <row r="1112" spans="1:7" x14ac:dyDescent="0.2">
      <c r="A1112" s="40">
        <v>4802</v>
      </c>
      <c r="B1112" s="39" t="s">
        <v>381</v>
      </c>
      <c r="C1112" s="40" t="s">
        <v>520</v>
      </c>
      <c r="D1112" s="74" t="s">
        <v>1269</v>
      </c>
      <c r="E1112" s="74" t="s">
        <v>1266</v>
      </c>
      <c r="F1112" s="74" t="s">
        <v>1268</v>
      </c>
      <c r="G1112" s="74" t="s">
        <v>1268</v>
      </c>
    </row>
    <row r="1113" spans="1:7" x14ac:dyDescent="0.2">
      <c r="A1113" s="40">
        <v>4810</v>
      </c>
      <c r="B1113" s="39" t="s">
        <v>170</v>
      </c>
      <c r="C1113" s="40" t="s">
        <v>520</v>
      </c>
      <c r="D1113" s="74" t="s">
        <v>1269</v>
      </c>
      <c r="E1113" s="74" t="s">
        <v>1266</v>
      </c>
      <c r="F1113" s="74" t="s">
        <v>1268</v>
      </c>
      <c r="G1113" s="74" t="s">
        <v>1268</v>
      </c>
    </row>
    <row r="1114" spans="1:7" x14ac:dyDescent="0.2">
      <c r="A1114" s="40">
        <v>4812</v>
      </c>
      <c r="B1114" s="39" t="s">
        <v>382</v>
      </c>
      <c r="C1114" s="40" t="s">
        <v>520</v>
      </c>
      <c r="D1114" s="74" t="s">
        <v>1269</v>
      </c>
      <c r="E1114" s="74" t="s">
        <v>1266</v>
      </c>
      <c r="F1114" s="74" t="s">
        <v>1268</v>
      </c>
      <c r="G1114" s="74" t="s">
        <v>1268</v>
      </c>
    </row>
    <row r="1115" spans="1:7" x14ac:dyDescent="0.2">
      <c r="A1115" s="40">
        <v>4813</v>
      </c>
      <c r="B1115" s="39" t="s">
        <v>383</v>
      </c>
      <c r="C1115" s="40" t="s">
        <v>520</v>
      </c>
      <c r="D1115" s="74" t="s">
        <v>1269</v>
      </c>
      <c r="E1115" s="74" t="s">
        <v>1266</v>
      </c>
      <c r="F1115" s="74" t="s">
        <v>1268</v>
      </c>
      <c r="G1115" s="74" t="s">
        <v>1268</v>
      </c>
    </row>
    <row r="1116" spans="1:7" x14ac:dyDescent="0.2">
      <c r="A1116" s="40">
        <v>4814</v>
      </c>
      <c r="B1116" s="39" t="s">
        <v>384</v>
      </c>
      <c r="C1116" s="40" t="s">
        <v>520</v>
      </c>
      <c r="D1116" s="74" t="s">
        <v>1269</v>
      </c>
      <c r="E1116" s="74" t="s">
        <v>1266</v>
      </c>
      <c r="F1116" s="74" t="s">
        <v>1268</v>
      </c>
      <c r="G1116" s="74" t="s">
        <v>1268</v>
      </c>
    </row>
    <row r="1117" spans="1:7" x14ac:dyDescent="0.2">
      <c r="A1117" s="40">
        <v>4815</v>
      </c>
      <c r="B1117" s="39" t="s">
        <v>385</v>
      </c>
      <c r="C1117" s="40" t="s">
        <v>520</v>
      </c>
      <c r="D1117" s="74" t="s">
        <v>1271</v>
      </c>
      <c r="E1117" s="74" t="s">
        <v>1266</v>
      </c>
      <c r="F1117" s="74" t="s">
        <v>1267</v>
      </c>
      <c r="G1117" s="74" t="s">
        <v>1268</v>
      </c>
    </row>
    <row r="1118" spans="1:7" x14ac:dyDescent="0.2">
      <c r="A1118" s="40">
        <v>4816</v>
      </c>
      <c r="B1118" s="39" t="s">
        <v>386</v>
      </c>
      <c r="C1118" s="40" t="s">
        <v>520</v>
      </c>
      <c r="D1118" s="74" t="s">
        <v>1269</v>
      </c>
      <c r="E1118" s="74" t="s">
        <v>1266</v>
      </c>
      <c r="F1118" s="74" t="s">
        <v>1268</v>
      </c>
      <c r="G1118" s="74" t="s">
        <v>1268</v>
      </c>
    </row>
    <row r="1119" spans="1:7" x14ac:dyDescent="0.2">
      <c r="A1119" s="40">
        <v>4817</v>
      </c>
      <c r="B1119" s="39" t="s">
        <v>387</v>
      </c>
      <c r="C1119" s="40" t="s">
        <v>520</v>
      </c>
      <c r="D1119" s="74" t="s">
        <v>1269</v>
      </c>
      <c r="E1119" s="74" t="s">
        <v>1266</v>
      </c>
      <c r="F1119" s="74" t="s">
        <v>1268</v>
      </c>
      <c r="G1119" s="74" t="s">
        <v>1267</v>
      </c>
    </row>
    <row r="1120" spans="1:7" x14ac:dyDescent="0.2">
      <c r="A1120" s="40">
        <v>4819</v>
      </c>
      <c r="B1120" s="39" t="s">
        <v>170</v>
      </c>
      <c r="C1120" s="40" t="s">
        <v>520</v>
      </c>
      <c r="D1120" s="74" t="s">
        <v>1271</v>
      </c>
      <c r="E1120" s="74" t="s">
        <v>1266</v>
      </c>
      <c r="F1120" s="74" t="s">
        <v>1267</v>
      </c>
      <c r="G1120" s="74" t="s">
        <v>1268</v>
      </c>
    </row>
    <row r="1121" spans="1:7" x14ac:dyDescent="0.2">
      <c r="A1121" s="40">
        <v>4820</v>
      </c>
      <c r="B1121" s="39" t="s">
        <v>131</v>
      </c>
      <c r="C1121" s="40" t="s">
        <v>520</v>
      </c>
      <c r="D1121" s="74" t="s">
        <v>1269</v>
      </c>
      <c r="E1121" s="74" t="s">
        <v>1266</v>
      </c>
      <c r="F1121" s="74" t="s">
        <v>1268</v>
      </c>
      <c r="G1121" s="74" t="s">
        <v>1268</v>
      </c>
    </row>
    <row r="1122" spans="1:7" x14ac:dyDescent="0.2">
      <c r="A1122" s="40">
        <v>4821</v>
      </c>
      <c r="B1122" s="39" t="s">
        <v>388</v>
      </c>
      <c r="C1122" s="40" t="s">
        <v>520</v>
      </c>
      <c r="D1122" s="74" t="s">
        <v>1269</v>
      </c>
      <c r="E1122" s="74" t="s">
        <v>1266</v>
      </c>
      <c r="F1122" s="74" t="s">
        <v>1268</v>
      </c>
      <c r="G1122" s="74" t="s">
        <v>1267</v>
      </c>
    </row>
    <row r="1123" spans="1:7" x14ac:dyDescent="0.2">
      <c r="A1123" s="40">
        <v>4822</v>
      </c>
      <c r="B1123" s="39" t="s">
        <v>389</v>
      </c>
      <c r="C1123" s="40" t="s">
        <v>520</v>
      </c>
      <c r="D1123" s="74" t="s">
        <v>1269</v>
      </c>
      <c r="E1123" s="74" t="s">
        <v>1266</v>
      </c>
      <c r="F1123" s="74" t="s">
        <v>1268</v>
      </c>
      <c r="G1123" s="74" t="s">
        <v>1268</v>
      </c>
    </row>
    <row r="1124" spans="1:7" x14ac:dyDescent="0.2">
      <c r="A1124" s="40">
        <v>4823</v>
      </c>
      <c r="B1124" s="39" t="s">
        <v>390</v>
      </c>
      <c r="C1124" s="40" t="s">
        <v>520</v>
      </c>
      <c r="D1124" s="74" t="s">
        <v>1269</v>
      </c>
      <c r="E1124" s="74" t="s">
        <v>1266</v>
      </c>
      <c r="F1124" s="74" t="s">
        <v>1268</v>
      </c>
      <c r="G1124" s="74" t="s">
        <v>1267</v>
      </c>
    </row>
    <row r="1125" spans="1:7" x14ac:dyDescent="0.2">
      <c r="A1125" s="40">
        <v>4824</v>
      </c>
      <c r="B1125" s="39" t="s">
        <v>391</v>
      </c>
      <c r="C1125" s="40" t="s">
        <v>520</v>
      </c>
      <c r="D1125" s="74" t="s">
        <v>1269</v>
      </c>
      <c r="E1125" s="74" t="s">
        <v>1266</v>
      </c>
      <c r="F1125" s="74" t="s">
        <v>1268</v>
      </c>
      <c r="G1125" s="74" t="s">
        <v>1268</v>
      </c>
    </row>
    <row r="1126" spans="1:7" x14ac:dyDescent="0.2">
      <c r="A1126" s="40">
        <v>4825</v>
      </c>
      <c r="B1126" s="39" t="s">
        <v>392</v>
      </c>
      <c r="C1126" s="40" t="s">
        <v>520</v>
      </c>
      <c r="D1126" s="74" t="s">
        <v>1269</v>
      </c>
      <c r="E1126" s="74" t="s">
        <v>1266</v>
      </c>
      <c r="F1126" s="74" t="s">
        <v>1268</v>
      </c>
      <c r="G1126" s="74" t="s">
        <v>1267</v>
      </c>
    </row>
    <row r="1127" spans="1:7" x14ac:dyDescent="0.2">
      <c r="A1127" s="40">
        <v>4829</v>
      </c>
      <c r="B1127" s="39" t="s">
        <v>131</v>
      </c>
      <c r="C1127" s="40" t="s">
        <v>520</v>
      </c>
      <c r="D1127" s="74" t="s">
        <v>1271</v>
      </c>
      <c r="E1127" s="74" t="s">
        <v>1266</v>
      </c>
      <c r="F1127" s="74" t="s">
        <v>1267</v>
      </c>
      <c r="G1127" s="74" t="s">
        <v>1268</v>
      </c>
    </row>
    <row r="1128" spans="1:7" x14ac:dyDescent="0.2">
      <c r="A1128" s="40">
        <v>4830</v>
      </c>
      <c r="B1128" s="39" t="s">
        <v>393</v>
      </c>
      <c r="C1128" s="40" t="s">
        <v>520</v>
      </c>
      <c r="D1128" s="74" t="s">
        <v>1269</v>
      </c>
      <c r="E1128" s="74" t="s">
        <v>1266</v>
      </c>
      <c r="F1128" s="74" t="s">
        <v>1268</v>
      </c>
      <c r="G1128" s="74" t="s">
        <v>1267</v>
      </c>
    </row>
    <row r="1129" spans="1:7" x14ac:dyDescent="0.2">
      <c r="A1129" s="40">
        <v>4831</v>
      </c>
      <c r="B1129" s="39" t="s">
        <v>394</v>
      </c>
      <c r="C1129" s="40" t="s">
        <v>520</v>
      </c>
      <c r="D1129" s="74" t="s">
        <v>1269</v>
      </c>
      <c r="E1129" s="74" t="s">
        <v>1266</v>
      </c>
      <c r="F1129" s="74" t="s">
        <v>1268</v>
      </c>
      <c r="G1129" s="74" t="s">
        <v>1267</v>
      </c>
    </row>
    <row r="1130" spans="1:7" x14ac:dyDescent="0.2">
      <c r="A1130" s="40">
        <v>4840</v>
      </c>
      <c r="B1130" s="39" t="s">
        <v>395</v>
      </c>
      <c r="C1130" s="40" t="s">
        <v>520</v>
      </c>
      <c r="D1130" s="74" t="s">
        <v>1269</v>
      </c>
      <c r="E1130" s="74" t="s">
        <v>1266</v>
      </c>
      <c r="F1130" s="74" t="s">
        <v>1268</v>
      </c>
      <c r="G1130" s="74" t="s">
        <v>1268</v>
      </c>
    </row>
    <row r="1131" spans="1:7" x14ac:dyDescent="0.2">
      <c r="A1131" s="40">
        <v>4841</v>
      </c>
      <c r="B1131" s="39" t="s">
        <v>396</v>
      </c>
      <c r="C1131" s="40" t="s">
        <v>520</v>
      </c>
      <c r="D1131" s="74" t="s">
        <v>1269</v>
      </c>
      <c r="E1131" s="74" t="s">
        <v>1266</v>
      </c>
      <c r="F1131" s="74" t="s">
        <v>1268</v>
      </c>
      <c r="G1131" s="74" t="s">
        <v>1267</v>
      </c>
    </row>
    <row r="1132" spans="1:7" x14ac:dyDescent="0.2">
      <c r="A1132" s="40">
        <v>4842</v>
      </c>
      <c r="B1132" s="39" t="s">
        <v>397</v>
      </c>
      <c r="C1132" s="40" t="s">
        <v>520</v>
      </c>
      <c r="D1132" s="74" t="s">
        <v>1269</v>
      </c>
      <c r="E1132" s="74" t="s">
        <v>1266</v>
      </c>
      <c r="F1132" s="74" t="s">
        <v>1268</v>
      </c>
      <c r="G1132" s="74" t="s">
        <v>1267</v>
      </c>
    </row>
    <row r="1133" spans="1:7" x14ac:dyDescent="0.2">
      <c r="A1133" s="40">
        <v>4843</v>
      </c>
      <c r="B1133" s="39" t="s">
        <v>398</v>
      </c>
      <c r="C1133" s="40" t="s">
        <v>520</v>
      </c>
      <c r="D1133" s="74" t="s">
        <v>1269</v>
      </c>
      <c r="E1133" s="74" t="s">
        <v>1266</v>
      </c>
      <c r="F1133" s="74" t="s">
        <v>1268</v>
      </c>
      <c r="G1133" s="74" t="s">
        <v>1268</v>
      </c>
    </row>
    <row r="1134" spans="1:7" x14ac:dyDescent="0.2">
      <c r="A1134" s="40">
        <v>4844</v>
      </c>
      <c r="B1134" s="39" t="s">
        <v>399</v>
      </c>
      <c r="C1134" s="40" t="s">
        <v>520</v>
      </c>
      <c r="D1134" s="74" t="s">
        <v>1269</v>
      </c>
      <c r="E1134" s="74" t="s">
        <v>1266</v>
      </c>
      <c r="F1134" s="74" t="s">
        <v>1268</v>
      </c>
      <c r="G1134" s="74" t="s">
        <v>1268</v>
      </c>
    </row>
    <row r="1135" spans="1:7" x14ac:dyDescent="0.2">
      <c r="A1135" s="40">
        <v>4845</v>
      </c>
      <c r="B1135" s="39" t="s">
        <v>400</v>
      </c>
      <c r="C1135" s="40" t="s">
        <v>520</v>
      </c>
      <c r="D1135" s="74" t="s">
        <v>1269</v>
      </c>
      <c r="E1135" s="74" t="s">
        <v>1266</v>
      </c>
      <c r="F1135" s="74" t="s">
        <v>1268</v>
      </c>
      <c r="G1135" s="74" t="s">
        <v>1267</v>
      </c>
    </row>
    <row r="1136" spans="1:7" x14ac:dyDescent="0.2">
      <c r="A1136" s="40">
        <v>4850</v>
      </c>
      <c r="B1136" s="39" t="s">
        <v>401</v>
      </c>
      <c r="C1136" s="40" t="s">
        <v>520</v>
      </c>
      <c r="D1136" s="74" t="s">
        <v>1269</v>
      </c>
      <c r="E1136" s="74" t="s">
        <v>1266</v>
      </c>
      <c r="F1136" s="74" t="s">
        <v>1268</v>
      </c>
      <c r="G1136" s="74" t="s">
        <v>1268</v>
      </c>
    </row>
    <row r="1137" spans="1:7" x14ac:dyDescent="0.2">
      <c r="A1137" s="40">
        <v>4851</v>
      </c>
      <c r="B1137" s="39" t="s">
        <v>402</v>
      </c>
      <c r="C1137" s="40" t="s">
        <v>520</v>
      </c>
      <c r="D1137" s="74" t="s">
        <v>1269</v>
      </c>
      <c r="E1137" s="74" t="s">
        <v>1266</v>
      </c>
      <c r="F1137" s="74" t="s">
        <v>1268</v>
      </c>
      <c r="G1137" s="74" t="s">
        <v>1267</v>
      </c>
    </row>
    <row r="1138" spans="1:7" x14ac:dyDescent="0.2">
      <c r="A1138" s="40">
        <v>4852</v>
      </c>
      <c r="B1138" s="39" t="s">
        <v>403</v>
      </c>
      <c r="C1138" s="40" t="s">
        <v>520</v>
      </c>
      <c r="D1138" s="74" t="s">
        <v>1269</v>
      </c>
      <c r="E1138" s="74" t="s">
        <v>1266</v>
      </c>
      <c r="F1138" s="74" t="s">
        <v>1268</v>
      </c>
      <c r="G1138" s="74" t="s">
        <v>1267</v>
      </c>
    </row>
    <row r="1139" spans="1:7" x14ac:dyDescent="0.2">
      <c r="A1139" s="40">
        <v>4853</v>
      </c>
      <c r="B1139" s="39" t="s">
        <v>404</v>
      </c>
      <c r="C1139" s="40" t="s">
        <v>520</v>
      </c>
      <c r="D1139" s="74" t="s">
        <v>1269</v>
      </c>
      <c r="E1139" s="74" t="s">
        <v>1266</v>
      </c>
      <c r="F1139" s="74" t="s">
        <v>1268</v>
      </c>
      <c r="G1139" s="74" t="s">
        <v>1268</v>
      </c>
    </row>
    <row r="1140" spans="1:7" x14ac:dyDescent="0.2">
      <c r="A1140" s="40">
        <v>4854</v>
      </c>
      <c r="B1140" s="39" t="s">
        <v>405</v>
      </c>
      <c r="C1140" s="40" t="s">
        <v>520</v>
      </c>
      <c r="D1140" s="74" t="s">
        <v>1269</v>
      </c>
      <c r="E1140" s="74" t="s">
        <v>1266</v>
      </c>
      <c r="F1140" s="74" t="s">
        <v>1268</v>
      </c>
      <c r="G1140" s="74" t="s">
        <v>1267</v>
      </c>
    </row>
    <row r="1141" spans="1:7" x14ac:dyDescent="0.2">
      <c r="A1141" s="40">
        <v>4860</v>
      </c>
      <c r="B1141" s="39" t="s">
        <v>406</v>
      </c>
      <c r="C1141" s="40" t="s">
        <v>520</v>
      </c>
      <c r="D1141" s="74" t="s">
        <v>1269</v>
      </c>
      <c r="E1141" s="74" t="s">
        <v>1266</v>
      </c>
      <c r="F1141" s="74" t="s">
        <v>1268</v>
      </c>
      <c r="G1141" s="74" t="s">
        <v>1268</v>
      </c>
    </row>
    <row r="1142" spans="1:7" x14ac:dyDescent="0.2">
      <c r="A1142" s="40">
        <v>4861</v>
      </c>
      <c r="B1142" s="39" t="s">
        <v>407</v>
      </c>
      <c r="C1142" s="40" t="s">
        <v>520</v>
      </c>
      <c r="D1142" s="74" t="s">
        <v>1269</v>
      </c>
      <c r="E1142" s="74" t="s">
        <v>1266</v>
      </c>
      <c r="F1142" s="74" t="s">
        <v>1268</v>
      </c>
      <c r="G1142" s="74" t="s">
        <v>1268</v>
      </c>
    </row>
    <row r="1143" spans="1:7" x14ac:dyDescent="0.2">
      <c r="A1143" s="40">
        <v>4863</v>
      </c>
      <c r="B1143" s="39" t="s">
        <v>408</v>
      </c>
      <c r="C1143" s="40" t="s">
        <v>520</v>
      </c>
      <c r="D1143" s="74" t="s">
        <v>1269</v>
      </c>
      <c r="E1143" s="74" t="s">
        <v>1266</v>
      </c>
      <c r="F1143" s="74" t="s">
        <v>1268</v>
      </c>
      <c r="G1143" s="74" t="s">
        <v>1268</v>
      </c>
    </row>
    <row r="1144" spans="1:7" x14ac:dyDescent="0.2">
      <c r="A1144" s="40">
        <v>4864</v>
      </c>
      <c r="B1144" s="39" t="s">
        <v>409</v>
      </c>
      <c r="C1144" s="40" t="s">
        <v>520</v>
      </c>
      <c r="D1144" s="74" t="s">
        <v>1269</v>
      </c>
      <c r="E1144" s="74" t="s">
        <v>1266</v>
      </c>
      <c r="F1144" s="74" t="s">
        <v>1268</v>
      </c>
      <c r="G1144" s="74" t="s">
        <v>1267</v>
      </c>
    </row>
    <row r="1145" spans="1:7" x14ac:dyDescent="0.2">
      <c r="A1145" s="40">
        <v>4865</v>
      </c>
      <c r="B1145" s="39" t="s">
        <v>410</v>
      </c>
      <c r="C1145" s="40" t="s">
        <v>520</v>
      </c>
      <c r="D1145" s="74" t="s">
        <v>1269</v>
      </c>
      <c r="E1145" s="74" t="s">
        <v>1266</v>
      </c>
      <c r="F1145" s="74" t="s">
        <v>1268</v>
      </c>
      <c r="G1145" s="74" t="s">
        <v>1268</v>
      </c>
    </row>
    <row r="1146" spans="1:7" x14ac:dyDescent="0.2">
      <c r="A1146" s="40">
        <v>4866</v>
      </c>
      <c r="B1146" s="39" t="s">
        <v>411</v>
      </c>
      <c r="C1146" s="40" t="s">
        <v>520</v>
      </c>
      <c r="D1146" s="74" t="s">
        <v>1269</v>
      </c>
      <c r="E1146" s="74" t="s">
        <v>1266</v>
      </c>
      <c r="F1146" s="74" t="s">
        <v>1268</v>
      </c>
      <c r="G1146" s="74" t="s">
        <v>1268</v>
      </c>
    </row>
    <row r="1147" spans="1:7" x14ac:dyDescent="0.2">
      <c r="A1147" s="40">
        <v>4870</v>
      </c>
      <c r="B1147" s="39" t="s">
        <v>412</v>
      </c>
      <c r="C1147" s="40" t="s">
        <v>520</v>
      </c>
      <c r="D1147" s="74" t="s">
        <v>1269</v>
      </c>
      <c r="E1147" s="74" t="s">
        <v>1266</v>
      </c>
      <c r="F1147" s="74" t="s">
        <v>1268</v>
      </c>
      <c r="G1147" s="74" t="s">
        <v>1268</v>
      </c>
    </row>
    <row r="1148" spans="1:7" x14ac:dyDescent="0.2">
      <c r="A1148" s="40">
        <v>4871</v>
      </c>
      <c r="B1148" s="39" t="s">
        <v>413</v>
      </c>
      <c r="C1148" s="40" t="s">
        <v>520</v>
      </c>
      <c r="D1148" s="74" t="s">
        <v>1269</v>
      </c>
      <c r="E1148" s="74" t="s">
        <v>1266</v>
      </c>
      <c r="F1148" s="74" t="s">
        <v>1268</v>
      </c>
      <c r="G1148" s="74" t="s">
        <v>1268</v>
      </c>
    </row>
    <row r="1149" spans="1:7" x14ac:dyDescent="0.2">
      <c r="A1149" s="40">
        <v>4872</v>
      </c>
      <c r="B1149" s="39" t="s">
        <v>414</v>
      </c>
      <c r="C1149" s="40" t="s">
        <v>520</v>
      </c>
      <c r="D1149" s="74" t="s">
        <v>1269</v>
      </c>
      <c r="E1149" s="74" t="s">
        <v>1266</v>
      </c>
      <c r="F1149" s="74" t="s">
        <v>1268</v>
      </c>
      <c r="G1149" s="74" t="s">
        <v>1267</v>
      </c>
    </row>
    <row r="1150" spans="1:7" x14ac:dyDescent="0.2">
      <c r="A1150" s="40">
        <v>4873</v>
      </c>
      <c r="B1150" s="39" t="s">
        <v>415</v>
      </c>
      <c r="C1150" s="40" t="s">
        <v>520</v>
      </c>
      <c r="D1150" s="74" t="s">
        <v>1269</v>
      </c>
      <c r="E1150" s="74" t="s">
        <v>1266</v>
      </c>
      <c r="F1150" s="74" t="s">
        <v>1268</v>
      </c>
      <c r="G1150" s="74" t="s">
        <v>1268</v>
      </c>
    </row>
    <row r="1151" spans="1:7" x14ac:dyDescent="0.2">
      <c r="A1151" s="40">
        <v>4874</v>
      </c>
      <c r="B1151" s="39" t="s">
        <v>416</v>
      </c>
      <c r="C1151" s="40" t="s">
        <v>520</v>
      </c>
      <c r="D1151" s="74" t="s">
        <v>417</v>
      </c>
      <c r="E1151" s="74" t="s">
        <v>418</v>
      </c>
      <c r="F1151" s="74" t="s">
        <v>1267</v>
      </c>
      <c r="G1151" s="74" t="s">
        <v>1267</v>
      </c>
    </row>
    <row r="1152" spans="1:7" x14ac:dyDescent="0.2">
      <c r="A1152" s="40">
        <v>4880</v>
      </c>
      <c r="B1152" s="39" t="s">
        <v>419</v>
      </c>
      <c r="C1152" s="40" t="s">
        <v>520</v>
      </c>
      <c r="D1152" s="74" t="s">
        <v>1269</v>
      </c>
      <c r="E1152" s="74" t="s">
        <v>1266</v>
      </c>
      <c r="F1152" s="74" t="s">
        <v>1268</v>
      </c>
      <c r="G1152" s="74" t="s">
        <v>1268</v>
      </c>
    </row>
    <row r="1153" spans="1:7" x14ac:dyDescent="0.2">
      <c r="A1153" s="40">
        <v>4881</v>
      </c>
      <c r="B1153" s="39" t="s">
        <v>420</v>
      </c>
      <c r="C1153" s="40" t="s">
        <v>520</v>
      </c>
      <c r="D1153" s="74" t="s">
        <v>1269</v>
      </c>
      <c r="E1153" s="74" t="s">
        <v>1266</v>
      </c>
      <c r="F1153" s="74" t="s">
        <v>1268</v>
      </c>
      <c r="G1153" s="74" t="s">
        <v>1267</v>
      </c>
    </row>
    <row r="1154" spans="1:7" x14ac:dyDescent="0.2">
      <c r="A1154" s="40">
        <v>4882</v>
      </c>
      <c r="B1154" s="39" t="s">
        <v>421</v>
      </c>
      <c r="C1154" s="40" t="s">
        <v>520</v>
      </c>
      <c r="D1154" s="74" t="s">
        <v>1269</v>
      </c>
      <c r="E1154" s="74" t="s">
        <v>1266</v>
      </c>
      <c r="F1154" s="74" t="s">
        <v>1268</v>
      </c>
      <c r="G1154" s="74" t="s">
        <v>1267</v>
      </c>
    </row>
    <row r="1155" spans="1:7" x14ac:dyDescent="0.2">
      <c r="A1155" s="40">
        <v>4890</v>
      </c>
      <c r="B1155" s="39" t="s">
        <v>422</v>
      </c>
      <c r="C1155" s="40" t="s">
        <v>520</v>
      </c>
      <c r="D1155" s="74" t="s">
        <v>1269</v>
      </c>
      <c r="E1155" s="74" t="s">
        <v>1266</v>
      </c>
      <c r="F1155" s="74" t="s">
        <v>1268</v>
      </c>
      <c r="G1155" s="74" t="s">
        <v>1268</v>
      </c>
    </row>
    <row r="1156" spans="1:7" x14ac:dyDescent="0.2">
      <c r="A1156" s="40">
        <v>4891</v>
      </c>
      <c r="B1156" s="39" t="s">
        <v>423</v>
      </c>
      <c r="C1156" s="40" t="s">
        <v>520</v>
      </c>
      <c r="D1156" s="74" t="s">
        <v>1269</v>
      </c>
      <c r="E1156" s="74" t="s">
        <v>1266</v>
      </c>
      <c r="F1156" s="74" t="s">
        <v>1268</v>
      </c>
      <c r="G1156" s="74" t="s">
        <v>1267</v>
      </c>
    </row>
    <row r="1157" spans="1:7" x14ac:dyDescent="0.2">
      <c r="A1157" s="40">
        <v>4892</v>
      </c>
      <c r="B1157" s="39" t="s">
        <v>424</v>
      </c>
      <c r="C1157" s="40" t="s">
        <v>520</v>
      </c>
      <c r="D1157" s="74" t="s">
        <v>1269</v>
      </c>
      <c r="E1157" s="74" t="s">
        <v>1266</v>
      </c>
      <c r="F1157" s="74" t="s">
        <v>1268</v>
      </c>
      <c r="G1157" s="74" t="s">
        <v>1267</v>
      </c>
    </row>
    <row r="1158" spans="1:7" x14ac:dyDescent="0.2">
      <c r="A1158" s="40">
        <v>4893</v>
      </c>
      <c r="B1158" s="39" t="s">
        <v>425</v>
      </c>
      <c r="C1158" s="40" t="s">
        <v>520</v>
      </c>
      <c r="D1158" s="74" t="s">
        <v>1269</v>
      </c>
      <c r="E1158" s="74" t="s">
        <v>1266</v>
      </c>
      <c r="F1158" s="74" t="s">
        <v>1268</v>
      </c>
      <c r="G1158" s="74" t="s">
        <v>1268</v>
      </c>
    </row>
    <row r="1159" spans="1:7" x14ac:dyDescent="0.2">
      <c r="A1159" s="40">
        <v>4894</v>
      </c>
      <c r="B1159" s="39" t="s">
        <v>426</v>
      </c>
      <c r="C1159" s="40" t="s">
        <v>520</v>
      </c>
      <c r="D1159" s="74" t="s">
        <v>1269</v>
      </c>
      <c r="E1159" s="74" t="s">
        <v>1266</v>
      </c>
      <c r="F1159" s="74" t="s">
        <v>1268</v>
      </c>
      <c r="G1159" s="74" t="s">
        <v>1268</v>
      </c>
    </row>
    <row r="1160" spans="1:7" x14ac:dyDescent="0.2">
      <c r="A1160" s="40">
        <v>4901</v>
      </c>
      <c r="B1160" s="39" t="s">
        <v>427</v>
      </c>
      <c r="C1160" s="40" t="s">
        <v>520</v>
      </c>
      <c r="D1160" s="74" t="s">
        <v>1269</v>
      </c>
      <c r="E1160" s="74" t="s">
        <v>1266</v>
      </c>
      <c r="F1160" s="74" t="s">
        <v>1268</v>
      </c>
      <c r="G1160" s="74" t="s">
        <v>1268</v>
      </c>
    </row>
    <row r="1161" spans="1:7" x14ac:dyDescent="0.2">
      <c r="A1161" s="40">
        <v>4902</v>
      </c>
      <c r="B1161" s="39" t="s">
        <v>428</v>
      </c>
      <c r="C1161" s="40" t="s">
        <v>520</v>
      </c>
      <c r="D1161" s="74" t="s">
        <v>1269</v>
      </c>
      <c r="E1161" s="74" t="s">
        <v>1266</v>
      </c>
      <c r="F1161" s="74" t="s">
        <v>1268</v>
      </c>
      <c r="G1161" s="74" t="s">
        <v>1267</v>
      </c>
    </row>
    <row r="1162" spans="1:7" x14ac:dyDescent="0.2">
      <c r="A1162" s="40">
        <v>4904</v>
      </c>
      <c r="B1162" s="39" t="s">
        <v>429</v>
      </c>
      <c r="C1162" s="40" t="s">
        <v>520</v>
      </c>
      <c r="D1162" s="74" t="s">
        <v>1269</v>
      </c>
      <c r="E1162" s="74" t="s">
        <v>1266</v>
      </c>
      <c r="F1162" s="74" t="s">
        <v>1268</v>
      </c>
      <c r="G1162" s="74" t="s">
        <v>1267</v>
      </c>
    </row>
    <row r="1163" spans="1:7" x14ac:dyDescent="0.2">
      <c r="A1163" s="40">
        <v>4905</v>
      </c>
      <c r="B1163" s="39" t="s">
        <v>430</v>
      </c>
      <c r="C1163" s="40" t="s">
        <v>520</v>
      </c>
      <c r="D1163" s="74" t="s">
        <v>1269</v>
      </c>
      <c r="E1163" s="74" t="s">
        <v>1266</v>
      </c>
      <c r="F1163" s="74" t="s">
        <v>1268</v>
      </c>
      <c r="G1163" s="74" t="s">
        <v>1267</v>
      </c>
    </row>
    <row r="1164" spans="1:7" x14ac:dyDescent="0.2">
      <c r="A1164" s="40">
        <v>4906</v>
      </c>
      <c r="B1164" s="39" t="s">
        <v>431</v>
      </c>
      <c r="C1164" s="40" t="s">
        <v>520</v>
      </c>
      <c r="D1164" s="74" t="s">
        <v>1269</v>
      </c>
      <c r="E1164" s="74" t="s">
        <v>1266</v>
      </c>
      <c r="F1164" s="74" t="s">
        <v>1268</v>
      </c>
      <c r="G1164" s="74" t="s">
        <v>1268</v>
      </c>
    </row>
    <row r="1165" spans="1:7" x14ac:dyDescent="0.2">
      <c r="A1165" s="40">
        <v>4910</v>
      </c>
      <c r="B1165" s="39" t="s">
        <v>432</v>
      </c>
      <c r="C1165" s="40" t="s">
        <v>520</v>
      </c>
      <c r="D1165" s="74" t="s">
        <v>1269</v>
      </c>
      <c r="E1165" s="74" t="s">
        <v>1266</v>
      </c>
      <c r="F1165" s="74" t="s">
        <v>1268</v>
      </c>
      <c r="G1165" s="74" t="s">
        <v>1268</v>
      </c>
    </row>
    <row r="1166" spans="1:7" x14ac:dyDescent="0.2">
      <c r="A1166" s="40">
        <v>4912</v>
      </c>
      <c r="B1166" s="39" t="s">
        <v>433</v>
      </c>
      <c r="C1166" s="40" t="s">
        <v>520</v>
      </c>
      <c r="D1166" s="74" t="s">
        <v>1269</v>
      </c>
      <c r="E1166" s="74" t="s">
        <v>1266</v>
      </c>
      <c r="F1166" s="74" t="s">
        <v>1268</v>
      </c>
      <c r="G1166" s="74" t="s">
        <v>1267</v>
      </c>
    </row>
    <row r="1167" spans="1:7" x14ac:dyDescent="0.2">
      <c r="A1167" s="40">
        <v>4920</v>
      </c>
      <c r="B1167" s="39" t="s">
        <v>434</v>
      </c>
      <c r="C1167" s="40" t="s">
        <v>520</v>
      </c>
      <c r="D1167" s="74" t="s">
        <v>1269</v>
      </c>
      <c r="E1167" s="74" t="s">
        <v>1266</v>
      </c>
      <c r="F1167" s="74" t="s">
        <v>1268</v>
      </c>
      <c r="G1167" s="74" t="s">
        <v>1267</v>
      </c>
    </row>
    <row r="1168" spans="1:7" x14ac:dyDescent="0.2">
      <c r="A1168" s="40">
        <v>4921</v>
      </c>
      <c r="B1168" s="39" t="s">
        <v>435</v>
      </c>
      <c r="C1168" s="40" t="s">
        <v>520</v>
      </c>
      <c r="D1168" s="74" t="s">
        <v>1269</v>
      </c>
      <c r="E1168" s="74" t="s">
        <v>1266</v>
      </c>
      <c r="F1168" s="74" t="s">
        <v>1268</v>
      </c>
      <c r="G1168" s="74" t="s">
        <v>1267</v>
      </c>
    </row>
    <row r="1169" spans="1:7" x14ac:dyDescent="0.2">
      <c r="A1169" s="40">
        <v>4922</v>
      </c>
      <c r="B1169" s="39" t="s">
        <v>436</v>
      </c>
      <c r="C1169" s="40" t="s">
        <v>520</v>
      </c>
      <c r="D1169" s="74" t="s">
        <v>1269</v>
      </c>
      <c r="E1169" s="74" t="s">
        <v>1266</v>
      </c>
      <c r="F1169" s="74" t="s">
        <v>1268</v>
      </c>
      <c r="G1169" s="74" t="s">
        <v>1267</v>
      </c>
    </row>
    <row r="1170" spans="1:7" x14ac:dyDescent="0.2">
      <c r="A1170" s="40">
        <v>4923</v>
      </c>
      <c r="B1170" s="39" t="s">
        <v>437</v>
      </c>
      <c r="C1170" s="40" t="s">
        <v>520</v>
      </c>
      <c r="D1170" s="74" t="s">
        <v>1269</v>
      </c>
      <c r="E1170" s="74" t="s">
        <v>1266</v>
      </c>
      <c r="F1170" s="74" t="s">
        <v>1268</v>
      </c>
      <c r="G1170" s="74" t="s">
        <v>1268</v>
      </c>
    </row>
    <row r="1171" spans="1:7" x14ac:dyDescent="0.2">
      <c r="A1171" s="40">
        <v>4924</v>
      </c>
      <c r="B1171" s="39" t="s">
        <v>438</v>
      </c>
      <c r="C1171" s="40" t="s">
        <v>520</v>
      </c>
      <c r="D1171" s="74" t="s">
        <v>1269</v>
      </c>
      <c r="E1171" s="74" t="s">
        <v>1266</v>
      </c>
      <c r="F1171" s="74" t="s">
        <v>1268</v>
      </c>
      <c r="G1171" s="74" t="s">
        <v>1268</v>
      </c>
    </row>
    <row r="1172" spans="1:7" x14ac:dyDescent="0.2">
      <c r="A1172" s="40">
        <v>4925</v>
      </c>
      <c r="B1172" s="39" t="s">
        <v>416</v>
      </c>
      <c r="C1172" s="40" t="s">
        <v>520</v>
      </c>
      <c r="D1172" s="74" t="s">
        <v>1269</v>
      </c>
      <c r="E1172" s="74" t="s">
        <v>1266</v>
      </c>
      <c r="F1172" s="74" t="s">
        <v>1268</v>
      </c>
      <c r="G1172" s="74" t="s">
        <v>1267</v>
      </c>
    </row>
    <row r="1173" spans="1:7" x14ac:dyDescent="0.2">
      <c r="A1173" s="40">
        <v>4926</v>
      </c>
      <c r="B1173" s="39" t="s">
        <v>439</v>
      </c>
      <c r="C1173" s="40" t="s">
        <v>520</v>
      </c>
      <c r="D1173" s="74" t="s">
        <v>1269</v>
      </c>
      <c r="E1173" s="74" t="s">
        <v>1266</v>
      </c>
      <c r="F1173" s="74" t="s">
        <v>1268</v>
      </c>
      <c r="G1173" s="74" t="s">
        <v>1267</v>
      </c>
    </row>
    <row r="1174" spans="1:7" x14ac:dyDescent="0.2">
      <c r="A1174" s="40">
        <v>4931</v>
      </c>
      <c r="B1174" s="39" t="s">
        <v>440</v>
      </c>
      <c r="C1174" s="40" t="s">
        <v>520</v>
      </c>
      <c r="D1174" s="74" t="s">
        <v>1269</v>
      </c>
      <c r="E1174" s="74" t="s">
        <v>1266</v>
      </c>
      <c r="F1174" s="74" t="s">
        <v>1268</v>
      </c>
      <c r="G1174" s="74" t="s">
        <v>1268</v>
      </c>
    </row>
    <row r="1175" spans="1:7" x14ac:dyDescent="0.2">
      <c r="A1175" s="40">
        <v>4932</v>
      </c>
      <c r="B1175" s="39" t="s">
        <v>441</v>
      </c>
      <c r="C1175" s="40" t="s">
        <v>520</v>
      </c>
      <c r="D1175" s="74" t="s">
        <v>1269</v>
      </c>
      <c r="E1175" s="74" t="s">
        <v>1266</v>
      </c>
      <c r="F1175" s="74" t="s">
        <v>1268</v>
      </c>
      <c r="G1175" s="74" t="s">
        <v>1267</v>
      </c>
    </row>
    <row r="1176" spans="1:7" x14ac:dyDescent="0.2">
      <c r="A1176" s="40">
        <v>4933</v>
      </c>
      <c r="B1176" s="39" t="s">
        <v>442</v>
      </c>
      <c r="C1176" s="40" t="s">
        <v>520</v>
      </c>
      <c r="D1176" s="74" t="s">
        <v>1269</v>
      </c>
      <c r="E1176" s="74" t="s">
        <v>1266</v>
      </c>
      <c r="F1176" s="74" t="s">
        <v>1268</v>
      </c>
      <c r="G1176" s="74" t="s">
        <v>1267</v>
      </c>
    </row>
    <row r="1177" spans="1:7" x14ac:dyDescent="0.2">
      <c r="A1177" s="40">
        <v>4941</v>
      </c>
      <c r="B1177" s="39" t="s">
        <v>443</v>
      </c>
      <c r="C1177" s="40" t="s">
        <v>520</v>
      </c>
      <c r="D1177" s="74" t="s">
        <v>1269</v>
      </c>
      <c r="E1177" s="74" t="s">
        <v>1266</v>
      </c>
      <c r="F1177" s="74" t="s">
        <v>1268</v>
      </c>
      <c r="G1177" s="74" t="s">
        <v>1267</v>
      </c>
    </row>
    <row r="1178" spans="1:7" x14ac:dyDescent="0.2">
      <c r="A1178" s="40">
        <v>4942</v>
      </c>
      <c r="B1178" s="39" t="s">
        <v>444</v>
      </c>
      <c r="C1178" s="40" t="s">
        <v>520</v>
      </c>
      <c r="D1178" s="74" t="s">
        <v>1269</v>
      </c>
      <c r="E1178" s="74" t="s">
        <v>1266</v>
      </c>
      <c r="F1178" s="74" t="s">
        <v>1268</v>
      </c>
      <c r="G1178" s="74" t="s">
        <v>1267</v>
      </c>
    </row>
    <row r="1179" spans="1:7" x14ac:dyDescent="0.2">
      <c r="A1179" s="40">
        <v>4943</v>
      </c>
      <c r="B1179" s="39" t="s">
        <v>445</v>
      </c>
      <c r="C1179" s="40" t="s">
        <v>520</v>
      </c>
      <c r="D1179" s="74" t="s">
        <v>1269</v>
      </c>
      <c r="E1179" s="74" t="s">
        <v>1266</v>
      </c>
      <c r="F1179" s="74" t="s">
        <v>1268</v>
      </c>
      <c r="G1179" s="74" t="s">
        <v>1268</v>
      </c>
    </row>
    <row r="1180" spans="1:7" x14ac:dyDescent="0.2">
      <c r="A1180" s="40">
        <v>4950</v>
      </c>
      <c r="B1180" s="39" t="s">
        <v>446</v>
      </c>
      <c r="C1180" s="40" t="s">
        <v>520</v>
      </c>
      <c r="D1180" s="74" t="s">
        <v>1269</v>
      </c>
      <c r="E1180" s="74" t="s">
        <v>1266</v>
      </c>
      <c r="F1180" s="74" t="s">
        <v>1268</v>
      </c>
      <c r="G1180" s="74" t="s">
        <v>1268</v>
      </c>
    </row>
    <row r="1181" spans="1:7" x14ac:dyDescent="0.2">
      <c r="A1181" s="40">
        <v>4951</v>
      </c>
      <c r="B1181" s="39" t="s">
        <v>447</v>
      </c>
      <c r="C1181" s="40" t="s">
        <v>520</v>
      </c>
      <c r="D1181" s="74" t="s">
        <v>1269</v>
      </c>
      <c r="E1181" s="74" t="s">
        <v>1266</v>
      </c>
      <c r="F1181" s="74" t="s">
        <v>1268</v>
      </c>
      <c r="G1181" s="74" t="s">
        <v>1267</v>
      </c>
    </row>
    <row r="1182" spans="1:7" x14ac:dyDescent="0.2">
      <c r="A1182" s="40">
        <v>4952</v>
      </c>
      <c r="B1182" s="39" t="s">
        <v>448</v>
      </c>
      <c r="C1182" s="40" t="s">
        <v>520</v>
      </c>
      <c r="D1182" s="74" t="s">
        <v>1269</v>
      </c>
      <c r="E1182" s="74" t="s">
        <v>1266</v>
      </c>
      <c r="F1182" s="74" t="s">
        <v>1268</v>
      </c>
      <c r="G1182" s="74" t="s">
        <v>1267</v>
      </c>
    </row>
    <row r="1183" spans="1:7" x14ac:dyDescent="0.2">
      <c r="A1183" s="40">
        <v>4961</v>
      </c>
      <c r="B1183" s="39" t="s">
        <v>449</v>
      </c>
      <c r="C1183" s="40" t="s">
        <v>520</v>
      </c>
      <c r="D1183" s="74" t="s">
        <v>1269</v>
      </c>
      <c r="E1183" s="74" t="s">
        <v>1266</v>
      </c>
      <c r="F1183" s="74" t="s">
        <v>1268</v>
      </c>
      <c r="G1183" s="74" t="s">
        <v>1267</v>
      </c>
    </row>
    <row r="1184" spans="1:7" x14ac:dyDescent="0.2">
      <c r="A1184" s="40">
        <v>4962</v>
      </c>
      <c r="B1184" s="39" t="s">
        <v>450</v>
      </c>
      <c r="C1184" s="40" t="s">
        <v>520</v>
      </c>
      <c r="D1184" s="74" t="s">
        <v>1269</v>
      </c>
      <c r="E1184" s="74" t="s">
        <v>1266</v>
      </c>
      <c r="F1184" s="74" t="s">
        <v>1268</v>
      </c>
      <c r="G1184" s="74" t="s">
        <v>1267</v>
      </c>
    </row>
    <row r="1185" spans="1:7" x14ac:dyDescent="0.2">
      <c r="A1185" s="40">
        <v>4963</v>
      </c>
      <c r="B1185" s="39" t="s">
        <v>451</v>
      </c>
      <c r="C1185" s="40" t="s">
        <v>520</v>
      </c>
      <c r="D1185" s="74" t="s">
        <v>1269</v>
      </c>
      <c r="E1185" s="74" t="s">
        <v>1266</v>
      </c>
      <c r="F1185" s="74" t="s">
        <v>1268</v>
      </c>
      <c r="G1185" s="74" t="s">
        <v>1267</v>
      </c>
    </row>
    <row r="1186" spans="1:7" x14ac:dyDescent="0.2">
      <c r="A1186" s="40">
        <v>4970</v>
      </c>
      <c r="B1186" s="39" t="s">
        <v>452</v>
      </c>
      <c r="C1186" s="40" t="s">
        <v>520</v>
      </c>
      <c r="D1186" s="74" t="s">
        <v>1269</v>
      </c>
      <c r="E1186" s="74" t="s">
        <v>1266</v>
      </c>
      <c r="F1186" s="74" t="s">
        <v>1268</v>
      </c>
      <c r="G1186" s="74" t="s">
        <v>1267</v>
      </c>
    </row>
    <row r="1187" spans="1:7" x14ac:dyDescent="0.2">
      <c r="A1187" s="40">
        <v>4971</v>
      </c>
      <c r="B1187" s="39" t="s">
        <v>453</v>
      </c>
      <c r="C1187" s="40" t="s">
        <v>520</v>
      </c>
      <c r="D1187" s="74" t="s">
        <v>1269</v>
      </c>
      <c r="E1187" s="74" t="s">
        <v>1266</v>
      </c>
      <c r="F1187" s="74" t="s">
        <v>1268</v>
      </c>
      <c r="G1187" s="74" t="s">
        <v>1268</v>
      </c>
    </row>
    <row r="1188" spans="1:7" x14ac:dyDescent="0.2">
      <c r="A1188" s="40">
        <v>4972</v>
      </c>
      <c r="B1188" s="39" t="s">
        <v>454</v>
      </c>
      <c r="C1188" s="40" t="s">
        <v>520</v>
      </c>
      <c r="D1188" s="74" t="s">
        <v>1269</v>
      </c>
      <c r="E1188" s="74" t="s">
        <v>1266</v>
      </c>
      <c r="F1188" s="74" t="s">
        <v>1268</v>
      </c>
      <c r="G1188" s="74" t="s">
        <v>1267</v>
      </c>
    </row>
    <row r="1189" spans="1:7" x14ac:dyDescent="0.2">
      <c r="A1189" s="40">
        <v>4973</v>
      </c>
      <c r="B1189" s="39" t="s">
        <v>642</v>
      </c>
      <c r="C1189" s="40" t="s">
        <v>520</v>
      </c>
      <c r="D1189" s="74" t="s">
        <v>1269</v>
      </c>
      <c r="E1189" s="74" t="s">
        <v>1266</v>
      </c>
      <c r="F1189" s="74" t="s">
        <v>1268</v>
      </c>
      <c r="G1189" s="74" t="s">
        <v>1268</v>
      </c>
    </row>
    <row r="1190" spans="1:7" x14ac:dyDescent="0.2">
      <c r="A1190" s="40">
        <v>4974</v>
      </c>
      <c r="B1190" s="39" t="s">
        <v>455</v>
      </c>
      <c r="C1190" s="40" t="s">
        <v>520</v>
      </c>
      <c r="D1190" s="74" t="s">
        <v>1269</v>
      </c>
      <c r="E1190" s="74" t="s">
        <v>1266</v>
      </c>
      <c r="F1190" s="74" t="s">
        <v>1268</v>
      </c>
      <c r="G1190" s="74" t="s">
        <v>1267</v>
      </c>
    </row>
    <row r="1191" spans="1:7" x14ac:dyDescent="0.2">
      <c r="A1191" s="40">
        <v>4975</v>
      </c>
      <c r="B1191" s="39" t="s">
        <v>456</v>
      </c>
      <c r="C1191" s="40" t="s">
        <v>520</v>
      </c>
      <c r="D1191" s="74" t="s">
        <v>1269</v>
      </c>
      <c r="E1191" s="74" t="s">
        <v>1266</v>
      </c>
      <c r="F1191" s="74" t="s">
        <v>1268</v>
      </c>
      <c r="G1191" s="74" t="s">
        <v>1267</v>
      </c>
    </row>
    <row r="1192" spans="1:7" x14ac:dyDescent="0.2">
      <c r="A1192" s="40">
        <v>4980</v>
      </c>
      <c r="B1192" s="39" t="s">
        <v>457</v>
      </c>
      <c r="C1192" s="40" t="s">
        <v>520</v>
      </c>
      <c r="D1192" s="74" t="s">
        <v>1269</v>
      </c>
      <c r="E1192" s="74" t="s">
        <v>1266</v>
      </c>
      <c r="F1192" s="74" t="s">
        <v>1268</v>
      </c>
      <c r="G1192" s="74" t="s">
        <v>1267</v>
      </c>
    </row>
    <row r="1193" spans="1:7" x14ac:dyDescent="0.2">
      <c r="A1193" s="40">
        <v>4981</v>
      </c>
      <c r="B1193" s="39" t="s">
        <v>255</v>
      </c>
      <c r="C1193" s="40" t="s">
        <v>520</v>
      </c>
      <c r="D1193" s="74" t="s">
        <v>1269</v>
      </c>
      <c r="E1193" s="74" t="s">
        <v>1266</v>
      </c>
      <c r="F1193" s="74" t="s">
        <v>1268</v>
      </c>
      <c r="G1193" s="74" t="s">
        <v>1267</v>
      </c>
    </row>
    <row r="1194" spans="1:7" x14ac:dyDescent="0.2">
      <c r="A1194" s="40">
        <v>4982</v>
      </c>
      <c r="B1194" s="39" t="s">
        <v>666</v>
      </c>
      <c r="C1194" s="40" t="s">
        <v>520</v>
      </c>
      <c r="D1194" s="74" t="s">
        <v>1269</v>
      </c>
      <c r="E1194" s="74" t="s">
        <v>1266</v>
      </c>
      <c r="F1194" s="74" t="s">
        <v>1268</v>
      </c>
      <c r="G1194" s="74" t="s">
        <v>1268</v>
      </c>
    </row>
    <row r="1195" spans="1:7" x14ac:dyDescent="0.2">
      <c r="A1195" s="40">
        <v>4983</v>
      </c>
      <c r="B1195" s="39" t="s">
        <v>667</v>
      </c>
      <c r="C1195" s="40" t="s">
        <v>520</v>
      </c>
      <c r="D1195" s="74" t="s">
        <v>1269</v>
      </c>
      <c r="E1195" s="74" t="s">
        <v>1266</v>
      </c>
      <c r="F1195" s="74" t="s">
        <v>1268</v>
      </c>
      <c r="G1195" s="74" t="s">
        <v>1267</v>
      </c>
    </row>
    <row r="1196" spans="1:7" x14ac:dyDescent="0.2">
      <c r="A1196" s="40">
        <v>4984</v>
      </c>
      <c r="B1196" s="39" t="s">
        <v>668</v>
      </c>
      <c r="C1196" s="40" t="s">
        <v>520</v>
      </c>
      <c r="D1196" s="74" t="s">
        <v>1269</v>
      </c>
      <c r="E1196" s="74" t="s">
        <v>1266</v>
      </c>
      <c r="F1196" s="74" t="s">
        <v>1268</v>
      </c>
      <c r="G1196" s="74" t="s">
        <v>1267</v>
      </c>
    </row>
    <row r="1197" spans="1:7" x14ac:dyDescent="0.2">
      <c r="A1197" s="40">
        <v>5010</v>
      </c>
      <c r="B1197" s="39" t="s">
        <v>261</v>
      </c>
      <c r="C1197" s="40" t="s">
        <v>669</v>
      </c>
      <c r="D1197" s="74" t="s">
        <v>1271</v>
      </c>
      <c r="E1197" s="74" t="s">
        <v>1266</v>
      </c>
      <c r="F1197" s="74" t="s">
        <v>1267</v>
      </c>
      <c r="G1197" s="74" t="s">
        <v>1268</v>
      </c>
    </row>
    <row r="1198" spans="1:7" x14ac:dyDescent="0.2">
      <c r="A1198" s="40">
        <v>5012</v>
      </c>
      <c r="B1198" s="39" t="s">
        <v>261</v>
      </c>
      <c r="C1198" s="40" t="s">
        <v>669</v>
      </c>
      <c r="D1198" s="74" t="s">
        <v>1271</v>
      </c>
      <c r="E1198" s="74" t="s">
        <v>1266</v>
      </c>
      <c r="F1198" s="74" t="s">
        <v>1267</v>
      </c>
      <c r="G1198" s="74" t="s">
        <v>1268</v>
      </c>
    </row>
    <row r="1199" spans="1:7" x14ac:dyDescent="0.2">
      <c r="A1199" s="40">
        <v>5013</v>
      </c>
      <c r="B1199" s="39" t="s">
        <v>670</v>
      </c>
      <c r="C1199" s="40" t="s">
        <v>669</v>
      </c>
      <c r="D1199" s="74" t="s">
        <v>1271</v>
      </c>
      <c r="E1199" s="74" t="s">
        <v>1266</v>
      </c>
      <c r="F1199" s="74" t="s">
        <v>1267</v>
      </c>
      <c r="G1199" s="74" t="s">
        <v>1268</v>
      </c>
    </row>
    <row r="1200" spans="1:7" x14ac:dyDescent="0.2">
      <c r="A1200" s="40">
        <v>5014</v>
      </c>
      <c r="B1200" s="39" t="s">
        <v>261</v>
      </c>
      <c r="C1200" s="40" t="s">
        <v>669</v>
      </c>
      <c r="D1200" s="74" t="s">
        <v>1271</v>
      </c>
      <c r="E1200" s="74" t="s">
        <v>1266</v>
      </c>
      <c r="F1200" s="74" t="s">
        <v>1267</v>
      </c>
      <c r="G1200" s="74" t="s">
        <v>1268</v>
      </c>
    </row>
    <row r="1201" spans="1:7" x14ac:dyDescent="0.2">
      <c r="A1201" s="40">
        <v>5015</v>
      </c>
      <c r="B1201" s="39" t="s">
        <v>261</v>
      </c>
      <c r="C1201" s="40" t="s">
        <v>669</v>
      </c>
      <c r="D1201" s="74" t="s">
        <v>1271</v>
      </c>
      <c r="E1201" s="74" t="s">
        <v>1266</v>
      </c>
      <c r="F1201" s="74" t="s">
        <v>1267</v>
      </c>
      <c r="G1201" s="74" t="s">
        <v>1268</v>
      </c>
    </row>
    <row r="1202" spans="1:7" x14ac:dyDescent="0.2">
      <c r="A1202" s="40">
        <v>5016</v>
      </c>
      <c r="B1202" s="39" t="s">
        <v>261</v>
      </c>
      <c r="C1202" s="40" t="s">
        <v>669</v>
      </c>
      <c r="D1202" s="74" t="s">
        <v>1271</v>
      </c>
      <c r="E1202" s="74" t="s">
        <v>1266</v>
      </c>
      <c r="F1202" s="74" t="s">
        <v>1267</v>
      </c>
      <c r="G1202" s="74" t="s">
        <v>1268</v>
      </c>
    </row>
    <row r="1203" spans="1:7" x14ac:dyDescent="0.2">
      <c r="A1203" s="40">
        <v>5017</v>
      </c>
      <c r="B1203" s="39" t="s">
        <v>261</v>
      </c>
      <c r="C1203" s="40" t="s">
        <v>669</v>
      </c>
      <c r="D1203" s="74" t="s">
        <v>1271</v>
      </c>
      <c r="E1203" s="74" t="s">
        <v>1266</v>
      </c>
      <c r="F1203" s="74" t="s">
        <v>1267</v>
      </c>
      <c r="G1203" s="74" t="s">
        <v>1268</v>
      </c>
    </row>
    <row r="1204" spans="1:7" x14ac:dyDescent="0.2">
      <c r="A1204" s="40">
        <v>5018</v>
      </c>
      <c r="B1204" s="39" t="s">
        <v>671</v>
      </c>
      <c r="C1204" s="40" t="s">
        <v>669</v>
      </c>
      <c r="D1204" s="74" t="s">
        <v>1271</v>
      </c>
      <c r="E1204" s="74" t="s">
        <v>1266</v>
      </c>
      <c r="F1204" s="74" t="s">
        <v>1267</v>
      </c>
      <c r="G1204" s="74" t="s">
        <v>1268</v>
      </c>
    </row>
    <row r="1205" spans="1:7" x14ac:dyDescent="0.2">
      <c r="A1205" s="40">
        <v>5020</v>
      </c>
      <c r="B1205" s="39" t="s">
        <v>261</v>
      </c>
      <c r="C1205" s="40" t="s">
        <v>669</v>
      </c>
      <c r="D1205" s="74" t="s">
        <v>1269</v>
      </c>
      <c r="E1205" s="74" t="s">
        <v>1266</v>
      </c>
      <c r="F1205" s="74" t="s">
        <v>1268</v>
      </c>
      <c r="G1205" s="74" t="s">
        <v>1268</v>
      </c>
    </row>
    <row r="1206" spans="1:7" x14ac:dyDescent="0.2">
      <c r="A1206" s="40">
        <v>5021</v>
      </c>
      <c r="B1206" s="39" t="s">
        <v>672</v>
      </c>
      <c r="C1206" s="40" t="s">
        <v>669</v>
      </c>
      <c r="D1206" s="74" t="s">
        <v>1271</v>
      </c>
      <c r="E1206" s="74" t="s">
        <v>1266</v>
      </c>
      <c r="F1206" s="74" t="s">
        <v>1267</v>
      </c>
      <c r="G1206" s="74" t="s">
        <v>1268</v>
      </c>
    </row>
    <row r="1207" spans="1:7" x14ac:dyDescent="0.2">
      <c r="A1207" s="40">
        <v>5022</v>
      </c>
      <c r="B1207" s="39" t="s">
        <v>261</v>
      </c>
      <c r="C1207" s="40" t="s">
        <v>669</v>
      </c>
      <c r="D1207" s="74" t="s">
        <v>1271</v>
      </c>
      <c r="E1207" s="74" t="s">
        <v>1266</v>
      </c>
      <c r="F1207" s="74" t="s">
        <v>1267</v>
      </c>
      <c r="G1207" s="74" t="s">
        <v>1268</v>
      </c>
    </row>
    <row r="1208" spans="1:7" x14ac:dyDescent="0.2">
      <c r="A1208" s="40">
        <v>5023</v>
      </c>
      <c r="B1208" s="39" t="s">
        <v>673</v>
      </c>
      <c r="C1208" s="40" t="s">
        <v>669</v>
      </c>
      <c r="D1208" s="74" t="s">
        <v>1269</v>
      </c>
      <c r="E1208" s="74" t="s">
        <v>1266</v>
      </c>
      <c r="F1208" s="74" t="s">
        <v>1268</v>
      </c>
      <c r="G1208" s="74" t="s">
        <v>1268</v>
      </c>
    </row>
    <row r="1209" spans="1:7" x14ac:dyDescent="0.2">
      <c r="A1209" s="40">
        <v>5024</v>
      </c>
      <c r="B1209" s="39" t="s">
        <v>261</v>
      </c>
      <c r="C1209" s="40" t="s">
        <v>669</v>
      </c>
      <c r="D1209" s="74" t="s">
        <v>1271</v>
      </c>
      <c r="E1209" s="74" t="s">
        <v>1266</v>
      </c>
      <c r="F1209" s="74" t="s">
        <v>1267</v>
      </c>
      <c r="G1209" s="74" t="s">
        <v>1268</v>
      </c>
    </row>
    <row r="1210" spans="1:7" x14ac:dyDescent="0.2">
      <c r="A1210" s="40">
        <v>5025</v>
      </c>
      <c r="B1210" s="39" t="s">
        <v>674</v>
      </c>
      <c r="C1210" s="40" t="s">
        <v>669</v>
      </c>
      <c r="D1210" s="74" t="s">
        <v>1271</v>
      </c>
      <c r="E1210" s="74" t="s">
        <v>1266</v>
      </c>
      <c r="F1210" s="74" t="s">
        <v>1267</v>
      </c>
      <c r="G1210" s="74" t="s">
        <v>1268</v>
      </c>
    </row>
    <row r="1211" spans="1:7" x14ac:dyDescent="0.2">
      <c r="A1211" s="40">
        <v>5026</v>
      </c>
      <c r="B1211" s="39" t="s">
        <v>675</v>
      </c>
      <c r="C1211" s="40" t="s">
        <v>669</v>
      </c>
      <c r="D1211" s="74" t="s">
        <v>1269</v>
      </c>
      <c r="E1211" s="74" t="s">
        <v>1266</v>
      </c>
      <c r="F1211" s="74" t="s">
        <v>1268</v>
      </c>
      <c r="G1211" s="74" t="s">
        <v>1268</v>
      </c>
    </row>
    <row r="1212" spans="1:7" x14ac:dyDescent="0.2">
      <c r="A1212" s="40">
        <v>5027</v>
      </c>
      <c r="B1212" s="39" t="s">
        <v>261</v>
      </c>
      <c r="C1212" s="40" t="s">
        <v>669</v>
      </c>
      <c r="D1212" s="74" t="s">
        <v>1271</v>
      </c>
      <c r="E1212" s="74" t="s">
        <v>1266</v>
      </c>
      <c r="F1212" s="74" t="s">
        <v>1267</v>
      </c>
      <c r="G1212" s="74" t="s">
        <v>1268</v>
      </c>
    </row>
    <row r="1213" spans="1:7" x14ac:dyDescent="0.2">
      <c r="A1213" s="40">
        <v>5028</v>
      </c>
      <c r="B1213" s="39" t="s">
        <v>676</v>
      </c>
      <c r="C1213" s="40" t="s">
        <v>669</v>
      </c>
      <c r="D1213" s="74" t="s">
        <v>1271</v>
      </c>
      <c r="E1213" s="74" t="s">
        <v>1266</v>
      </c>
      <c r="F1213" s="74" t="s">
        <v>1267</v>
      </c>
      <c r="G1213" s="74" t="s">
        <v>1268</v>
      </c>
    </row>
    <row r="1214" spans="1:7" x14ac:dyDescent="0.2">
      <c r="A1214" s="40">
        <v>5029</v>
      </c>
      <c r="B1214" s="39" t="s">
        <v>261</v>
      </c>
      <c r="C1214" s="40" t="s">
        <v>669</v>
      </c>
      <c r="D1214" s="74" t="s">
        <v>1271</v>
      </c>
      <c r="E1214" s="74" t="s">
        <v>1266</v>
      </c>
      <c r="F1214" s="74" t="s">
        <v>1267</v>
      </c>
      <c r="G1214" s="74" t="s">
        <v>1268</v>
      </c>
    </row>
    <row r="1215" spans="1:7" x14ac:dyDescent="0.2">
      <c r="A1215" s="40">
        <v>5033</v>
      </c>
      <c r="B1215" s="39" t="s">
        <v>261</v>
      </c>
      <c r="C1215" s="40" t="s">
        <v>669</v>
      </c>
      <c r="D1215" s="74" t="s">
        <v>1271</v>
      </c>
      <c r="E1215" s="74" t="s">
        <v>1266</v>
      </c>
      <c r="F1215" s="74" t="s">
        <v>1267</v>
      </c>
      <c r="G1215" s="74" t="s">
        <v>1268</v>
      </c>
    </row>
    <row r="1216" spans="1:7" x14ac:dyDescent="0.2">
      <c r="A1216" s="40">
        <v>5034</v>
      </c>
      <c r="B1216" s="39" t="s">
        <v>685</v>
      </c>
      <c r="C1216" s="40" t="s">
        <v>669</v>
      </c>
      <c r="D1216" s="74" t="s">
        <v>1271</v>
      </c>
      <c r="E1216" s="74" t="s">
        <v>1266</v>
      </c>
      <c r="F1216" s="74" t="s">
        <v>1267</v>
      </c>
      <c r="G1216" s="74" t="s">
        <v>1268</v>
      </c>
    </row>
    <row r="1217" spans="1:7" x14ac:dyDescent="0.2">
      <c r="A1217" s="40">
        <v>5061</v>
      </c>
      <c r="B1217" s="39" t="s">
        <v>686</v>
      </c>
      <c r="C1217" s="40" t="s">
        <v>669</v>
      </c>
      <c r="D1217" s="74" t="s">
        <v>1269</v>
      </c>
      <c r="E1217" s="74" t="s">
        <v>1266</v>
      </c>
      <c r="F1217" s="74" t="s">
        <v>1268</v>
      </c>
      <c r="G1217" s="74" t="s">
        <v>1268</v>
      </c>
    </row>
    <row r="1218" spans="1:7" x14ac:dyDescent="0.2">
      <c r="A1218" s="40">
        <v>5071</v>
      </c>
      <c r="B1218" s="39" t="s">
        <v>687</v>
      </c>
      <c r="C1218" s="40" t="s">
        <v>669</v>
      </c>
      <c r="D1218" s="74" t="s">
        <v>1269</v>
      </c>
      <c r="E1218" s="74" t="s">
        <v>1266</v>
      </c>
      <c r="F1218" s="74" t="s">
        <v>1268</v>
      </c>
      <c r="G1218" s="74" t="s">
        <v>1268</v>
      </c>
    </row>
    <row r="1219" spans="1:7" x14ac:dyDescent="0.2">
      <c r="A1219" s="40">
        <v>5072</v>
      </c>
      <c r="B1219" s="39" t="s">
        <v>688</v>
      </c>
      <c r="C1219" s="40" t="s">
        <v>669</v>
      </c>
      <c r="D1219" s="74" t="s">
        <v>1271</v>
      </c>
      <c r="E1219" s="74" t="s">
        <v>1266</v>
      </c>
      <c r="F1219" s="74" t="s">
        <v>1267</v>
      </c>
      <c r="G1219" s="74" t="s">
        <v>1268</v>
      </c>
    </row>
    <row r="1220" spans="1:7" x14ac:dyDescent="0.2">
      <c r="A1220" s="40">
        <v>5073</v>
      </c>
      <c r="B1220" s="39" t="s">
        <v>689</v>
      </c>
      <c r="C1220" s="40" t="s">
        <v>669</v>
      </c>
      <c r="D1220" s="74" t="s">
        <v>1271</v>
      </c>
      <c r="E1220" s="74" t="s">
        <v>1266</v>
      </c>
      <c r="F1220" s="74" t="s">
        <v>1267</v>
      </c>
      <c r="G1220" s="74" t="s">
        <v>1268</v>
      </c>
    </row>
    <row r="1221" spans="1:7" x14ac:dyDescent="0.2">
      <c r="A1221" s="40">
        <v>5081</v>
      </c>
      <c r="B1221" s="39" t="s">
        <v>690</v>
      </c>
      <c r="C1221" s="40" t="s">
        <v>669</v>
      </c>
      <c r="D1221" s="74" t="s">
        <v>1269</v>
      </c>
      <c r="E1221" s="74" t="s">
        <v>1266</v>
      </c>
      <c r="F1221" s="74" t="s">
        <v>1268</v>
      </c>
      <c r="G1221" s="74" t="s">
        <v>1268</v>
      </c>
    </row>
    <row r="1222" spans="1:7" x14ac:dyDescent="0.2">
      <c r="A1222" s="40">
        <v>5082</v>
      </c>
      <c r="B1222" s="39" t="s">
        <v>691</v>
      </c>
      <c r="C1222" s="40" t="s">
        <v>669</v>
      </c>
      <c r="D1222" s="74" t="s">
        <v>1269</v>
      </c>
      <c r="E1222" s="74" t="s">
        <v>1266</v>
      </c>
      <c r="F1222" s="74" t="s">
        <v>1268</v>
      </c>
      <c r="G1222" s="74" t="s">
        <v>1268</v>
      </c>
    </row>
    <row r="1223" spans="1:7" x14ac:dyDescent="0.2">
      <c r="A1223" s="40">
        <v>5083</v>
      </c>
      <c r="B1223" s="39" t="s">
        <v>692</v>
      </c>
      <c r="C1223" s="40" t="s">
        <v>669</v>
      </c>
      <c r="D1223" s="74" t="s">
        <v>1269</v>
      </c>
      <c r="E1223" s="74" t="s">
        <v>1266</v>
      </c>
      <c r="F1223" s="74" t="s">
        <v>1268</v>
      </c>
      <c r="G1223" s="74" t="s">
        <v>1268</v>
      </c>
    </row>
    <row r="1224" spans="1:7" x14ac:dyDescent="0.2">
      <c r="A1224" s="40">
        <v>5084</v>
      </c>
      <c r="B1224" s="39" t="s">
        <v>693</v>
      </c>
      <c r="C1224" s="40" t="s">
        <v>669</v>
      </c>
      <c r="D1224" s="74" t="s">
        <v>1269</v>
      </c>
      <c r="E1224" s="74" t="s">
        <v>1266</v>
      </c>
      <c r="F1224" s="74" t="s">
        <v>1268</v>
      </c>
      <c r="G1224" s="74" t="s">
        <v>1268</v>
      </c>
    </row>
    <row r="1225" spans="1:7" x14ac:dyDescent="0.2">
      <c r="A1225" s="40">
        <v>5089</v>
      </c>
      <c r="B1225" s="39" t="s">
        <v>694</v>
      </c>
      <c r="C1225" s="40" t="s">
        <v>669</v>
      </c>
      <c r="D1225" s="74" t="s">
        <v>1271</v>
      </c>
      <c r="E1225" s="74" t="s">
        <v>1266</v>
      </c>
      <c r="F1225" s="74" t="s">
        <v>1267</v>
      </c>
      <c r="G1225" s="74" t="s">
        <v>1268</v>
      </c>
    </row>
    <row r="1226" spans="1:7" x14ac:dyDescent="0.2">
      <c r="A1226" s="40">
        <v>5090</v>
      </c>
      <c r="B1226" s="39" t="s">
        <v>695</v>
      </c>
      <c r="C1226" s="40" t="s">
        <v>669</v>
      </c>
      <c r="D1226" s="74" t="s">
        <v>1269</v>
      </c>
      <c r="E1226" s="74" t="s">
        <v>1266</v>
      </c>
      <c r="F1226" s="74" t="s">
        <v>1268</v>
      </c>
      <c r="G1226" s="74" t="s">
        <v>1268</v>
      </c>
    </row>
    <row r="1227" spans="1:7" x14ac:dyDescent="0.2">
      <c r="A1227" s="40">
        <v>5091</v>
      </c>
      <c r="B1227" s="39" t="s">
        <v>696</v>
      </c>
      <c r="C1227" s="40" t="s">
        <v>669</v>
      </c>
      <c r="D1227" s="74" t="s">
        <v>1269</v>
      </c>
      <c r="E1227" s="74" t="s">
        <v>1266</v>
      </c>
      <c r="F1227" s="74" t="s">
        <v>1268</v>
      </c>
      <c r="G1227" s="74" t="s">
        <v>1268</v>
      </c>
    </row>
    <row r="1228" spans="1:7" x14ac:dyDescent="0.2">
      <c r="A1228" s="40">
        <v>5092</v>
      </c>
      <c r="B1228" s="39" t="s">
        <v>697</v>
      </c>
      <c r="C1228" s="40" t="s">
        <v>669</v>
      </c>
      <c r="D1228" s="74" t="s">
        <v>1269</v>
      </c>
      <c r="E1228" s="74" t="s">
        <v>1266</v>
      </c>
      <c r="F1228" s="74" t="s">
        <v>1268</v>
      </c>
      <c r="G1228" s="74" t="s">
        <v>1267</v>
      </c>
    </row>
    <row r="1229" spans="1:7" x14ac:dyDescent="0.2">
      <c r="A1229" s="40">
        <v>5093</v>
      </c>
      <c r="B1229" s="39" t="s">
        <v>698</v>
      </c>
      <c r="C1229" s="40" t="s">
        <v>669</v>
      </c>
      <c r="D1229" s="74" t="s">
        <v>1269</v>
      </c>
      <c r="E1229" s="74" t="s">
        <v>1266</v>
      </c>
      <c r="F1229" s="74" t="s">
        <v>1268</v>
      </c>
      <c r="G1229" s="74" t="s">
        <v>1267</v>
      </c>
    </row>
    <row r="1230" spans="1:7" x14ac:dyDescent="0.2">
      <c r="A1230" s="40">
        <v>5101</v>
      </c>
      <c r="B1230" s="39" t="s">
        <v>699</v>
      </c>
      <c r="C1230" s="40" t="s">
        <v>669</v>
      </c>
      <c r="D1230" s="74" t="s">
        <v>1269</v>
      </c>
      <c r="E1230" s="74" t="s">
        <v>1266</v>
      </c>
      <c r="F1230" s="74" t="s">
        <v>1268</v>
      </c>
      <c r="G1230" s="74" t="s">
        <v>1268</v>
      </c>
    </row>
    <row r="1231" spans="1:7" x14ac:dyDescent="0.2">
      <c r="A1231" s="40">
        <v>5102</v>
      </c>
      <c r="B1231" s="39" t="s">
        <v>700</v>
      </c>
      <c r="C1231" s="40" t="s">
        <v>669</v>
      </c>
      <c r="D1231" s="74" t="s">
        <v>1269</v>
      </c>
      <c r="E1231" s="74" t="s">
        <v>1266</v>
      </c>
      <c r="F1231" s="74" t="s">
        <v>1268</v>
      </c>
      <c r="G1231" s="74" t="s">
        <v>1268</v>
      </c>
    </row>
    <row r="1232" spans="1:7" x14ac:dyDescent="0.2">
      <c r="A1232" s="40">
        <v>5110</v>
      </c>
      <c r="B1232" s="39" t="s">
        <v>701</v>
      </c>
      <c r="C1232" s="40" t="s">
        <v>669</v>
      </c>
      <c r="D1232" s="74" t="s">
        <v>1269</v>
      </c>
      <c r="E1232" s="74" t="s">
        <v>1266</v>
      </c>
      <c r="F1232" s="74" t="s">
        <v>1268</v>
      </c>
      <c r="G1232" s="74" t="s">
        <v>1268</v>
      </c>
    </row>
    <row r="1233" spans="1:7" x14ac:dyDescent="0.2">
      <c r="A1233" s="40">
        <v>5111</v>
      </c>
      <c r="B1233" s="39" t="s">
        <v>702</v>
      </c>
      <c r="C1233" s="40" t="s">
        <v>669</v>
      </c>
      <c r="D1233" s="74" t="s">
        <v>1269</v>
      </c>
      <c r="E1233" s="74" t="s">
        <v>1266</v>
      </c>
      <c r="F1233" s="74" t="s">
        <v>1268</v>
      </c>
      <c r="G1233" s="74" t="s">
        <v>1268</v>
      </c>
    </row>
    <row r="1234" spans="1:7" x14ac:dyDescent="0.2">
      <c r="A1234" s="40">
        <v>5112</v>
      </c>
      <c r="B1234" s="39" t="s">
        <v>703</v>
      </c>
      <c r="C1234" s="40" t="s">
        <v>669</v>
      </c>
      <c r="D1234" s="74" t="s">
        <v>1269</v>
      </c>
      <c r="E1234" s="74" t="s">
        <v>1266</v>
      </c>
      <c r="F1234" s="74" t="s">
        <v>1268</v>
      </c>
      <c r="G1234" s="74" t="s">
        <v>1268</v>
      </c>
    </row>
    <row r="1235" spans="1:7" x14ac:dyDescent="0.2">
      <c r="A1235" s="40">
        <v>5113</v>
      </c>
      <c r="B1235" s="39" t="s">
        <v>704</v>
      </c>
      <c r="C1235" s="40" t="s">
        <v>669</v>
      </c>
      <c r="D1235" s="74" t="s">
        <v>1269</v>
      </c>
      <c r="E1235" s="74" t="s">
        <v>1266</v>
      </c>
      <c r="F1235" s="74" t="s">
        <v>1268</v>
      </c>
      <c r="G1235" s="74" t="s">
        <v>1267</v>
      </c>
    </row>
    <row r="1236" spans="1:7" x14ac:dyDescent="0.2">
      <c r="A1236" s="40">
        <v>5114</v>
      </c>
      <c r="B1236" s="39" t="s">
        <v>705</v>
      </c>
      <c r="C1236" s="40" t="s">
        <v>669</v>
      </c>
      <c r="D1236" s="74" t="s">
        <v>1269</v>
      </c>
      <c r="E1236" s="74" t="s">
        <v>1266</v>
      </c>
      <c r="F1236" s="74" t="s">
        <v>1268</v>
      </c>
      <c r="G1236" s="74" t="s">
        <v>1267</v>
      </c>
    </row>
    <row r="1237" spans="1:7" x14ac:dyDescent="0.2">
      <c r="A1237" s="40">
        <v>5120</v>
      </c>
      <c r="B1237" s="39" t="s">
        <v>1698</v>
      </c>
      <c r="C1237" s="40" t="s">
        <v>520</v>
      </c>
      <c r="D1237" s="74" t="s">
        <v>1269</v>
      </c>
      <c r="E1237" s="74" t="s">
        <v>1266</v>
      </c>
      <c r="F1237" s="74" t="s">
        <v>1268</v>
      </c>
      <c r="G1237" s="74" t="s">
        <v>1267</v>
      </c>
    </row>
    <row r="1238" spans="1:7" x14ac:dyDescent="0.2">
      <c r="A1238" s="40">
        <v>5121</v>
      </c>
      <c r="B1238" s="39" t="s">
        <v>706</v>
      </c>
      <c r="C1238" s="40" t="s">
        <v>520</v>
      </c>
      <c r="D1238" s="74" t="s">
        <v>1269</v>
      </c>
      <c r="E1238" s="74" t="s">
        <v>1266</v>
      </c>
      <c r="F1238" s="74" t="s">
        <v>1268</v>
      </c>
      <c r="G1238" s="74" t="s">
        <v>1268</v>
      </c>
    </row>
    <row r="1239" spans="1:7" x14ac:dyDescent="0.2">
      <c r="A1239" s="40">
        <v>5122</v>
      </c>
      <c r="B1239" s="39" t="s">
        <v>707</v>
      </c>
      <c r="C1239" s="40" t="s">
        <v>520</v>
      </c>
      <c r="D1239" s="74" t="s">
        <v>1269</v>
      </c>
      <c r="E1239" s="74" t="s">
        <v>1266</v>
      </c>
      <c r="F1239" s="74" t="s">
        <v>1268</v>
      </c>
      <c r="G1239" s="74" t="s">
        <v>1268</v>
      </c>
    </row>
    <row r="1240" spans="1:7" x14ac:dyDescent="0.2">
      <c r="A1240" s="40">
        <v>5131</v>
      </c>
      <c r="B1240" s="39" t="s">
        <v>708</v>
      </c>
      <c r="C1240" s="40" t="s">
        <v>520</v>
      </c>
      <c r="D1240" s="74" t="s">
        <v>1269</v>
      </c>
      <c r="E1240" s="74" t="s">
        <v>1266</v>
      </c>
      <c r="F1240" s="74" t="s">
        <v>1268</v>
      </c>
      <c r="G1240" s="74" t="s">
        <v>1267</v>
      </c>
    </row>
    <row r="1241" spans="1:7" x14ac:dyDescent="0.2">
      <c r="A1241" s="40">
        <v>5132</v>
      </c>
      <c r="B1241" s="39" t="s">
        <v>709</v>
      </c>
      <c r="C1241" s="40" t="s">
        <v>520</v>
      </c>
      <c r="D1241" s="74" t="s">
        <v>1269</v>
      </c>
      <c r="E1241" s="74" t="s">
        <v>1266</v>
      </c>
      <c r="F1241" s="74" t="s">
        <v>1268</v>
      </c>
      <c r="G1241" s="74" t="s">
        <v>1267</v>
      </c>
    </row>
    <row r="1242" spans="1:7" x14ac:dyDescent="0.2">
      <c r="A1242" s="40">
        <v>5133</v>
      </c>
      <c r="B1242" s="39" t="s">
        <v>710</v>
      </c>
      <c r="C1242" s="40" t="s">
        <v>520</v>
      </c>
      <c r="D1242" s="74" t="s">
        <v>1269</v>
      </c>
      <c r="E1242" s="74" t="s">
        <v>1266</v>
      </c>
      <c r="F1242" s="74" t="s">
        <v>1268</v>
      </c>
      <c r="G1242" s="74" t="s">
        <v>1267</v>
      </c>
    </row>
    <row r="1243" spans="1:7" x14ac:dyDescent="0.2">
      <c r="A1243" s="40">
        <v>5134</v>
      </c>
      <c r="B1243" s="39" t="s">
        <v>711</v>
      </c>
      <c r="C1243" s="40" t="s">
        <v>520</v>
      </c>
      <c r="D1243" s="74" t="s">
        <v>1269</v>
      </c>
      <c r="E1243" s="74" t="s">
        <v>1266</v>
      </c>
      <c r="F1243" s="74" t="s">
        <v>1268</v>
      </c>
      <c r="G1243" s="74" t="s">
        <v>1267</v>
      </c>
    </row>
    <row r="1244" spans="1:7" x14ac:dyDescent="0.2">
      <c r="A1244" s="40">
        <v>5141</v>
      </c>
      <c r="B1244" s="39" t="s">
        <v>712</v>
      </c>
      <c r="C1244" s="40" t="s">
        <v>520</v>
      </c>
      <c r="D1244" s="74" t="s">
        <v>1269</v>
      </c>
      <c r="E1244" s="74" t="s">
        <v>1266</v>
      </c>
      <c r="F1244" s="74" t="s">
        <v>1268</v>
      </c>
      <c r="G1244" s="74" t="s">
        <v>1267</v>
      </c>
    </row>
    <row r="1245" spans="1:7" x14ac:dyDescent="0.2">
      <c r="A1245" s="40">
        <v>5142</v>
      </c>
      <c r="B1245" s="39" t="s">
        <v>713</v>
      </c>
      <c r="C1245" s="40" t="s">
        <v>520</v>
      </c>
      <c r="D1245" s="74" t="s">
        <v>1269</v>
      </c>
      <c r="E1245" s="74" t="s">
        <v>1266</v>
      </c>
      <c r="F1245" s="74" t="s">
        <v>1268</v>
      </c>
      <c r="G1245" s="74" t="s">
        <v>1268</v>
      </c>
    </row>
    <row r="1246" spans="1:7" x14ac:dyDescent="0.2">
      <c r="A1246" s="40">
        <v>5143</v>
      </c>
      <c r="B1246" s="39" t="s">
        <v>714</v>
      </c>
      <c r="C1246" s="40" t="s">
        <v>520</v>
      </c>
      <c r="D1246" s="74" t="s">
        <v>1269</v>
      </c>
      <c r="E1246" s="74" t="s">
        <v>1266</v>
      </c>
      <c r="F1246" s="74" t="s">
        <v>1268</v>
      </c>
      <c r="G1246" s="74" t="s">
        <v>1267</v>
      </c>
    </row>
    <row r="1247" spans="1:7" x14ac:dyDescent="0.2">
      <c r="A1247" s="40">
        <v>5144</v>
      </c>
      <c r="B1247" s="39" t="s">
        <v>715</v>
      </c>
      <c r="C1247" s="40" t="s">
        <v>520</v>
      </c>
      <c r="D1247" s="74" t="s">
        <v>1269</v>
      </c>
      <c r="E1247" s="74" t="s">
        <v>1266</v>
      </c>
      <c r="F1247" s="74" t="s">
        <v>1268</v>
      </c>
      <c r="G1247" s="74" t="s">
        <v>1267</v>
      </c>
    </row>
    <row r="1248" spans="1:7" x14ac:dyDescent="0.2">
      <c r="A1248" s="40">
        <v>5145</v>
      </c>
      <c r="B1248" s="39" t="s">
        <v>716</v>
      </c>
      <c r="C1248" s="40" t="s">
        <v>520</v>
      </c>
      <c r="D1248" s="74" t="s">
        <v>1269</v>
      </c>
      <c r="E1248" s="74" t="s">
        <v>1266</v>
      </c>
      <c r="F1248" s="74" t="s">
        <v>1268</v>
      </c>
      <c r="G1248" s="74" t="s">
        <v>1268</v>
      </c>
    </row>
    <row r="1249" spans="1:7" x14ac:dyDescent="0.2">
      <c r="A1249" s="40">
        <v>5151</v>
      </c>
      <c r="B1249" s="39" t="s">
        <v>717</v>
      </c>
      <c r="C1249" s="40" t="s">
        <v>669</v>
      </c>
      <c r="D1249" s="74" t="s">
        <v>1269</v>
      </c>
      <c r="E1249" s="74" t="s">
        <v>1266</v>
      </c>
      <c r="F1249" s="74" t="s">
        <v>1268</v>
      </c>
      <c r="G1249" s="74" t="s">
        <v>1267</v>
      </c>
    </row>
    <row r="1250" spans="1:7" x14ac:dyDescent="0.2">
      <c r="A1250" s="40">
        <v>5152</v>
      </c>
      <c r="B1250" s="39" t="s">
        <v>718</v>
      </c>
      <c r="C1250" s="40" t="s">
        <v>669</v>
      </c>
      <c r="D1250" s="74" t="s">
        <v>1269</v>
      </c>
      <c r="E1250" s="74" t="s">
        <v>1266</v>
      </c>
      <c r="F1250" s="74" t="s">
        <v>1268</v>
      </c>
      <c r="G1250" s="74" t="s">
        <v>1267</v>
      </c>
    </row>
    <row r="1251" spans="1:7" x14ac:dyDescent="0.2">
      <c r="A1251" s="40">
        <v>5161</v>
      </c>
      <c r="B1251" s="39" t="s">
        <v>719</v>
      </c>
      <c r="C1251" s="40" t="s">
        <v>669</v>
      </c>
      <c r="D1251" s="74" t="s">
        <v>1269</v>
      </c>
      <c r="E1251" s="74" t="s">
        <v>1266</v>
      </c>
      <c r="F1251" s="74" t="s">
        <v>1268</v>
      </c>
      <c r="G1251" s="74" t="s">
        <v>1268</v>
      </c>
    </row>
    <row r="1252" spans="1:7" x14ac:dyDescent="0.2">
      <c r="A1252" s="40">
        <v>5162</v>
      </c>
      <c r="B1252" s="39" t="s">
        <v>720</v>
      </c>
      <c r="C1252" s="40" t="s">
        <v>669</v>
      </c>
      <c r="D1252" s="74" t="s">
        <v>1269</v>
      </c>
      <c r="E1252" s="74" t="s">
        <v>1266</v>
      </c>
      <c r="F1252" s="74" t="s">
        <v>1268</v>
      </c>
      <c r="G1252" s="74" t="s">
        <v>1268</v>
      </c>
    </row>
    <row r="1253" spans="1:7" x14ac:dyDescent="0.2">
      <c r="A1253" s="40">
        <v>5163</v>
      </c>
      <c r="B1253" s="39" t="s">
        <v>721</v>
      </c>
      <c r="C1253" s="40" t="s">
        <v>669</v>
      </c>
      <c r="D1253" s="74" t="s">
        <v>1269</v>
      </c>
      <c r="E1253" s="74" t="s">
        <v>1266</v>
      </c>
      <c r="F1253" s="74" t="s">
        <v>1268</v>
      </c>
      <c r="G1253" s="74" t="s">
        <v>1268</v>
      </c>
    </row>
    <row r="1254" spans="1:7" x14ac:dyDescent="0.2">
      <c r="A1254" s="40">
        <v>5164</v>
      </c>
      <c r="B1254" s="39" t="s">
        <v>722</v>
      </c>
      <c r="C1254" s="40" t="s">
        <v>669</v>
      </c>
      <c r="D1254" s="74" t="s">
        <v>1269</v>
      </c>
      <c r="E1254" s="74" t="s">
        <v>1266</v>
      </c>
      <c r="F1254" s="74" t="s">
        <v>1268</v>
      </c>
      <c r="G1254" s="74" t="s">
        <v>1267</v>
      </c>
    </row>
    <row r="1255" spans="1:7" x14ac:dyDescent="0.2">
      <c r="A1255" s="40">
        <v>5165</v>
      </c>
      <c r="B1255" s="39" t="s">
        <v>723</v>
      </c>
      <c r="C1255" s="40" t="s">
        <v>669</v>
      </c>
      <c r="D1255" s="74" t="s">
        <v>1269</v>
      </c>
      <c r="E1255" s="74" t="s">
        <v>1266</v>
      </c>
      <c r="F1255" s="74" t="s">
        <v>1268</v>
      </c>
      <c r="G1255" s="74" t="s">
        <v>1268</v>
      </c>
    </row>
    <row r="1256" spans="1:7" x14ac:dyDescent="0.2">
      <c r="A1256" s="40">
        <v>5201</v>
      </c>
      <c r="B1256" s="39" t="s">
        <v>724</v>
      </c>
      <c r="C1256" s="40" t="s">
        <v>669</v>
      </c>
      <c r="D1256" s="74" t="s">
        <v>1269</v>
      </c>
      <c r="E1256" s="74" t="s">
        <v>1266</v>
      </c>
      <c r="F1256" s="74" t="s">
        <v>1268</v>
      </c>
      <c r="G1256" s="74" t="s">
        <v>1268</v>
      </c>
    </row>
    <row r="1257" spans="1:7" x14ac:dyDescent="0.2">
      <c r="A1257" s="40">
        <v>5202</v>
      </c>
      <c r="B1257" s="39" t="s">
        <v>725</v>
      </c>
      <c r="C1257" s="40" t="s">
        <v>669</v>
      </c>
      <c r="D1257" s="74" t="s">
        <v>1269</v>
      </c>
      <c r="E1257" s="74" t="s">
        <v>1266</v>
      </c>
      <c r="F1257" s="74" t="s">
        <v>1268</v>
      </c>
      <c r="G1257" s="74" t="s">
        <v>1268</v>
      </c>
    </row>
    <row r="1258" spans="1:7" x14ac:dyDescent="0.2">
      <c r="A1258" s="40">
        <v>5203</v>
      </c>
      <c r="B1258" s="39" t="s">
        <v>726</v>
      </c>
      <c r="C1258" s="40" t="s">
        <v>669</v>
      </c>
      <c r="D1258" s="74" t="s">
        <v>1269</v>
      </c>
      <c r="E1258" s="74" t="s">
        <v>1266</v>
      </c>
      <c r="F1258" s="74" t="s">
        <v>1268</v>
      </c>
      <c r="G1258" s="74" t="s">
        <v>1267</v>
      </c>
    </row>
    <row r="1259" spans="1:7" x14ac:dyDescent="0.2">
      <c r="A1259" s="40">
        <v>5204</v>
      </c>
      <c r="B1259" s="39" t="s">
        <v>727</v>
      </c>
      <c r="C1259" s="40" t="s">
        <v>669</v>
      </c>
      <c r="D1259" s="74" t="s">
        <v>1269</v>
      </c>
      <c r="E1259" s="74" t="s">
        <v>1266</v>
      </c>
      <c r="F1259" s="74" t="s">
        <v>1268</v>
      </c>
      <c r="G1259" s="74" t="s">
        <v>1268</v>
      </c>
    </row>
    <row r="1260" spans="1:7" x14ac:dyDescent="0.2">
      <c r="A1260" s="40">
        <v>5205</v>
      </c>
      <c r="B1260" s="39" t="s">
        <v>728</v>
      </c>
      <c r="C1260" s="40" t="s">
        <v>669</v>
      </c>
      <c r="D1260" s="74" t="s">
        <v>1269</v>
      </c>
      <c r="E1260" s="74" t="s">
        <v>1266</v>
      </c>
      <c r="F1260" s="74" t="s">
        <v>1268</v>
      </c>
      <c r="G1260" s="74" t="s">
        <v>1267</v>
      </c>
    </row>
    <row r="1261" spans="1:7" x14ac:dyDescent="0.2">
      <c r="A1261" s="40">
        <v>5211</v>
      </c>
      <c r="B1261" s="39" t="s">
        <v>729</v>
      </c>
      <c r="C1261" s="40" t="s">
        <v>520</v>
      </c>
      <c r="D1261" s="74" t="s">
        <v>1269</v>
      </c>
      <c r="E1261" s="74" t="s">
        <v>1266</v>
      </c>
      <c r="F1261" s="74" t="s">
        <v>1268</v>
      </c>
      <c r="G1261" s="74" t="s">
        <v>1268</v>
      </c>
    </row>
    <row r="1262" spans="1:7" x14ac:dyDescent="0.2">
      <c r="A1262" s="40">
        <v>5212</v>
      </c>
      <c r="B1262" s="39" t="s">
        <v>730</v>
      </c>
      <c r="C1262" s="40" t="s">
        <v>520</v>
      </c>
      <c r="D1262" s="74" t="s">
        <v>1269</v>
      </c>
      <c r="E1262" s="74" t="s">
        <v>1266</v>
      </c>
      <c r="F1262" s="74" t="s">
        <v>1268</v>
      </c>
      <c r="G1262" s="74" t="s">
        <v>1267</v>
      </c>
    </row>
    <row r="1263" spans="1:7" x14ac:dyDescent="0.2">
      <c r="A1263" s="40">
        <v>5221</v>
      </c>
      <c r="B1263" s="39" t="s">
        <v>731</v>
      </c>
      <c r="C1263" s="40" t="s">
        <v>520</v>
      </c>
      <c r="D1263" s="74" t="s">
        <v>1269</v>
      </c>
      <c r="E1263" s="74" t="s">
        <v>1266</v>
      </c>
      <c r="F1263" s="74" t="s">
        <v>1268</v>
      </c>
      <c r="G1263" s="74" t="s">
        <v>1268</v>
      </c>
    </row>
    <row r="1264" spans="1:7" x14ac:dyDescent="0.2">
      <c r="A1264" s="40">
        <v>5222</v>
      </c>
      <c r="B1264" s="39" t="s">
        <v>732</v>
      </c>
      <c r="C1264" s="40" t="s">
        <v>520</v>
      </c>
      <c r="D1264" s="74" t="s">
        <v>1269</v>
      </c>
      <c r="E1264" s="74" t="s">
        <v>1266</v>
      </c>
      <c r="F1264" s="74" t="s">
        <v>1268</v>
      </c>
      <c r="G1264" s="74" t="s">
        <v>1268</v>
      </c>
    </row>
    <row r="1265" spans="1:7" x14ac:dyDescent="0.2">
      <c r="A1265" s="40">
        <v>5223</v>
      </c>
      <c r="B1265" s="39" t="s">
        <v>733</v>
      </c>
      <c r="C1265" s="40" t="s">
        <v>520</v>
      </c>
      <c r="D1265" s="74" t="s">
        <v>1269</v>
      </c>
      <c r="E1265" s="74" t="s">
        <v>1266</v>
      </c>
      <c r="F1265" s="74" t="s">
        <v>1268</v>
      </c>
      <c r="G1265" s="74" t="s">
        <v>1267</v>
      </c>
    </row>
    <row r="1266" spans="1:7" x14ac:dyDescent="0.2">
      <c r="A1266" s="40">
        <v>5224</v>
      </c>
      <c r="B1266" s="39" t="s">
        <v>734</v>
      </c>
      <c r="C1266" s="40" t="s">
        <v>520</v>
      </c>
      <c r="D1266" s="74" t="s">
        <v>1269</v>
      </c>
      <c r="E1266" s="74" t="s">
        <v>1266</v>
      </c>
      <c r="F1266" s="74" t="s">
        <v>1268</v>
      </c>
      <c r="G1266" s="74" t="s">
        <v>1267</v>
      </c>
    </row>
    <row r="1267" spans="1:7" x14ac:dyDescent="0.2">
      <c r="A1267" s="40">
        <v>5225</v>
      </c>
      <c r="B1267" s="39" t="s">
        <v>735</v>
      </c>
      <c r="C1267" s="40" t="s">
        <v>520</v>
      </c>
      <c r="D1267" s="74" t="s">
        <v>1269</v>
      </c>
      <c r="E1267" s="74" t="s">
        <v>1266</v>
      </c>
      <c r="F1267" s="74" t="s">
        <v>1268</v>
      </c>
      <c r="G1267" s="74" t="s">
        <v>1267</v>
      </c>
    </row>
    <row r="1268" spans="1:7" x14ac:dyDescent="0.2">
      <c r="A1268" s="40">
        <v>5230</v>
      </c>
      <c r="B1268" s="39" t="s">
        <v>736</v>
      </c>
      <c r="C1268" s="40" t="s">
        <v>520</v>
      </c>
      <c r="D1268" s="74" t="s">
        <v>1269</v>
      </c>
      <c r="E1268" s="74" t="s">
        <v>1266</v>
      </c>
      <c r="F1268" s="74" t="s">
        <v>1268</v>
      </c>
      <c r="G1268" s="74" t="s">
        <v>1268</v>
      </c>
    </row>
    <row r="1269" spans="1:7" x14ac:dyDescent="0.2">
      <c r="A1269" s="40">
        <v>5231</v>
      </c>
      <c r="B1269" s="39" t="s">
        <v>737</v>
      </c>
      <c r="C1269" s="40" t="s">
        <v>520</v>
      </c>
      <c r="D1269" s="74" t="s">
        <v>1269</v>
      </c>
      <c r="E1269" s="74" t="s">
        <v>1266</v>
      </c>
      <c r="F1269" s="74" t="s">
        <v>1268</v>
      </c>
      <c r="G1269" s="74" t="s">
        <v>1267</v>
      </c>
    </row>
    <row r="1270" spans="1:7" x14ac:dyDescent="0.2">
      <c r="A1270" s="40">
        <v>5232</v>
      </c>
      <c r="B1270" s="39" t="s">
        <v>2106</v>
      </c>
      <c r="C1270" s="40" t="s">
        <v>520</v>
      </c>
      <c r="D1270" s="74" t="s">
        <v>1269</v>
      </c>
      <c r="E1270" s="74" t="s">
        <v>1266</v>
      </c>
      <c r="F1270" s="74" t="s">
        <v>1268</v>
      </c>
      <c r="G1270" s="74" t="s">
        <v>1267</v>
      </c>
    </row>
    <row r="1271" spans="1:7" x14ac:dyDescent="0.2">
      <c r="A1271" s="40">
        <v>5233</v>
      </c>
      <c r="B1271" s="39" t="s">
        <v>2107</v>
      </c>
      <c r="C1271" s="40" t="s">
        <v>520</v>
      </c>
      <c r="D1271" s="74" t="s">
        <v>1269</v>
      </c>
      <c r="E1271" s="74" t="s">
        <v>1266</v>
      </c>
      <c r="F1271" s="74" t="s">
        <v>1268</v>
      </c>
      <c r="G1271" s="74" t="s">
        <v>1267</v>
      </c>
    </row>
    <row r="1272" spans="1:7" x14ac:dyDescent="0.2">
      <c r="A1272" s="40">
        <v>5241</v>
      </c>
      <c r="B1272" s="39" t="s">
        <v>2108</v>
      </c>
      <c r="C1272" s="40" t="s">
        <v>520</v>
      </c>
      <c r="D1272" s="74" t="s">
        <v>1269</v>
      </c>
      <c r="E1272" s="74" t="s">
        <v>1266</v>
      </c>
      <c r="F1272" s="74" t="s">
        <v>1268</v>
      </c>
      <c r="G1272" s="74" t="s">
        <v>1267</v>
      </c>
    </row>
    <row r="1273" spans="1:7" x14ac:dyDescent="0.2">
      <c r="A1273" s="40">
        <v>5242</v>
      </c>
      <c r="B1273" s="39" t="s">
        <v>2109</v>
      </c>
      <c r="C1273" s="40" t="s">
        <v>520</v>
      </c>
      <c r="D1273" s="74" t="s">
        <v>1269</v>
      </c>
      <c r="E1273" s="74" t="s">
        <v>1266</v>
      </c>
      <c r="F1273" s="74" t="s">
        <v>1268</v>
      </c>
      <c r="G1273" s="74" t="s">
        <v>1267</v>
      </c>
    </row>
    <row r="1274" spans="1:7" x14ac:dyDescent="0.2">
      <c r="A1274" s="40">
        <v>5251</v>
      </c>
      <c r="B1274" s="39" t="s">
        <v>2110</v>
      </c>
      <c r="C1274" s="40" t="s">
        <v>520</v>
      </c>
      <c r="D1274" s="74" t="s">
        <v>1269</v>
      </c>
      <c r="E1274" s="74" t="s">
        <v>1266</v>
      </c>
      <c r="F1274" s="74" t="s">
        <v>1268</v>
      </c>
      <c r="G1274" s="74" t="s">
        <v>1268</v>
      </c>
    </row>
    <row r="1275" spans="1:7" x14ac:dyDescent="0.2">
      <c r="A1275" s="40">
        <v>5252</v>
      </c>
      <c r="B1275" s="39" t="s">
        <v>2111</v>
      </c>
      <c r="C1275" s="40" t="s">
        <v>520</v>
      </c>
      <c r="D1275" s="74" t="s">
        <v>1269</v>
      </c>
      <c r="E1275" s="74" t="s">
        <v>1266</v>
      </c>
      <c r="F1275" s="74" t="s">
        <v>1268</v>
      </c>
      <c r="G1275" s="74" t="s">
        <v>1268</v>
      </c>
    </row>
    <row r="1276" spans="1:7" x14ac:dyDescent="0.2">
      <c r="A1276" s="40">
        <v>5261</v>
      </c>
      <c r="B1276" s="39" t="s">
        <v>2112</v>
      </c>
      <c r="C1276" s="40" t="s">
        <v>520</v>
      </c>
      <c r="D1276" s="74" t="s">
        <v>1269</v>
      </c>
      <c r="E1276" s="74" t="s">
        <v>1266</v>
      </c>
      <c r="F1276" s="74" t="s">
        <v>1268</v>
      </c>
      <c r="G1276" s="74" t="s">
        <v>1268</v>
      </c>
    </row>
    <row r="1277" spans="1:7" x14ac:dyDescent="0.2">
      <c r="A1277" s="40">
        <v>5270</v>
      </c>
      <c r="B1277" s="39" t="s">
        <v>2113</v>
      </c>
      <c r="C1277" s="40" t="s">
        <v>520</v>
      </c>
      <c r="D1277" s="74" t="s">
        <v>1269</v>
      </c>
      <c r="E1277" s="74" t="s">
        <v>1266</v>
      </c>
      <c r="F1277" s="74" t="s">
        <v>1268</v>
      </c>
      <c r="G1277" s="74" t="s">
        <v>1268</v>
      </c>
    </row>
    <row r="1278" spans="1:7" x14ac:dyDescent="0.2">
      <c r="A1278" s="40">
        <v>5271</v>
      </c>
      <c r="B1278" s="39" t="s">
        <v>2114</v>
      </c>
      <c r="C1278" s="40" t="s">
        <v>520</v>
      </c>
      <c r="D1278" s="74" t="s">
        <v>1269</v>
      </c>
      <c r="E1278" s="74" t="s">
        <v>1266</v>
      </c>
      <c r="F1278" s="74" t="s">
        <v>1268</v>
      </c>
      <c r="G1278" s="74" t="s">
        <v>1267</v>
      </c>
    </row>
    <row r="1279" spans="1:7" x14ac:dyDescent="0.2">
      <c r="A1279" s="40">
        <v>5272</v>
      </c>
      <c r="B1279" s="39" t="s">
        <v>2115</v>
      </c>
      <c r="C1279" s="40" t="s">
        <v>520</v>
      </c>
      <c r="D1279" s="74" t="s">
        <v>1269</v>
      </c>
      <c r="E1279" s="74" t="s">
        <v>1266</v>
      </c>
      <c r="F1279" s="74" t="s">
        <v>1268</v>
      </c>
      <c r="G1279" s="74" t="s">
        <v>1267</v>
      </c>
    </row>
    <row r="1280" spans="1:7" x14ac:dyDescent="0.2">
      <c r="A1280" s="40">
        <v>5273</v>
      </c>
      <c r="B1280" s="39" t="s">
        <v>2116</v>
      </c>
      <c r="C1280" s="40" t="s">
        <v>520</v>
      </c>
      <c r="D1280" s="74" t="s">
        <v>1269</v>
      </c>
      <c r="E1280" s="74" t="s">
        <v>1266</v>
      </c>
      <c r="F1280" s="74" t="s">
        <v>1268</v>
      </c>
      <c r="G1280" s="74" t="s">
        <v>1267</v>
      </c>
    </row>
    <row r="1281" spans="1:7" x14ac:dyDescent="0.2">
      <c r="A1281" s="40">
        <v>5274</v>
      </c>
      <c r="B1281" s="39" t="s">
        <v>2117</v>
      </c>
      <c r="C1281" s="40" t="s">
        <v>520</v>
      </c>
      <c r="D1281" s="74" t="s">
        <v>1269</v>
      </c>
      <c r="E1281" s="74" t="s">
        <v>1266</v>
      </c>
      <c r="F1281" s="74" t="s">
        <v>1268</v>
      </c>
      <c r="G1281" s="74" t="s">
        <v>1267</v>
      </c>
    </row>
    <row r="1282" spans="1:7" x14ac:dyDescent="0.2">
      <c r="A1282" s="40">
        <v>5280</v>
      </c>
      <c r="B1282" s="39" t="s">
        <v>2118</v>
      </c>
      <c r="C1282" s="40" t="s">
        <v>520</v>
      </c>
      <c r="D1282" s="74" t="s">
        <v>1269</v>
      </c>
      <c r="E1282" s="74" t="s">
        <v>1266</v>
      </c>
      <c r="F1282" s="74" t="s">
        <v>1268</v>
      </c>
      <c r="G1282" s="74" t="s">
        <v>1268</v>
      </c>
    </row>
    <row r="1283" spans="1:7" x14ac:dyDescent="0.2">
      <c r="A1283" s="40">
        <v>5282</v>
      </c>
      <c r="B1283" s="39" t="s">
        <v>2119</v>
      </c>
      <c r="C1283" s="40" t="s">
        <v>520</v>
      </c>
      <c r="D1283" s="74" t="s">
        <v>1269</v>
      </c>
      <c r="E1283" s="74" t="s">
        <v>1266</v>
      </c>
      <c r="F1283" s="74" t="s">
        <v>1268</v>
      </c>
      <c r="G1283" s="74" t="s">
        <v>1268</v>
      </c>
    </row>
    <row r="1284" spans="1:7" x14ac:dyDescent="0.2">
      <c r="A1284" s="40">
        <v>5300</v>
      </c>
      <c r="B1284" s="39" t="s">
        <v>2120</v>
      </c>
      <c r="C1284" s="40" t="s">
        <v>669</v>
      </c>
      <c r="D1284" s="74" t="s">
        <v>1269</v>
      </c>
      <c r="E1284" s="74" t="s">
        <v>1266</v>
      </c>
      <c r="F1284" s="74" t="s">
        <v>1268</v>
      </c>
      <c r="G1284" s="74" t="s">
        <v>1268</v>
      </c>
    </row>
    <row r="1285" spans="1:7" x14ac:dyDescent="0.2">
      <c r="A1285" s="40">
        <v>5301</v>
      </c>
      <c r="B1285" s="39" t="s">
        <v>2121</v>
      </c>
      <c r="C1285" s="40" t="s">
        <v>669</v>
      </c>
      <c r="D1285" s="74" t="s">
        <v>1269</v>
      </c>
      <c r="E1285" s="74" t="s">
        <v>1266</v>
      </c>
      <c r="F1285" s="74" t="s">
        <v>1268</v>
      </c>
      <c r="G1285" s="74" t="s">
        <v>1268</v>
      </c>
    </row>
    <row r="1286" spans="1:7" x14ac:dyDescent="0.2">
      <c r="A1286" s="40">
        <v>5302</v>
      </c>
      <c r="B1286" s="39" t="s">
        <v>2122</v>
      </c>
      <c r="C1286" s="40" t="s">
        <v>669</v>
      </c>
      <c r="D1286" s="74" t="s">
        <v>1269</v>
      </c>
      <c r="E1286" s="74" t="s">
        <v>1266</v>
      </c>
      <c r="F1286" s="74" t="s">
        <v>1268</v>
      </c>
      <c r="G1286" s="74" t="s">
        <v>1268</v>
      </c>
    </row>
    <row r="1287" spans="1:7" x14ac:dyDescent="0.2">
      <c r="A1287" s="40">
        <v>5303</v>
      </c>
      <c r="B1287" s="39" t="s">
        <v>2123</v>
      </c>
      <c r="C1287" s="40" t="s">
        <v>669</v>
      </c>
      <c r="D1287" s="74" t="s">
        <v>1269</v>
      </c>
      <c r="E1287" s="74" t="s">
        <v>1266</v>
      </c>
      <c r="F1287" s="74" t="s">
        <v>1268</v>
      </c>
      <c r="G1287" s="74" t="s">
        <v>1268</v>
      </c>
    </row>
    <row r="1288" spans="1:7" x14ac:dyDescent="0.2">
      <c r="A1288" s="40">
        <v>5310</v>
      </c>
      <c r="B1288" s="39" t="s">
        <v>223</v>
      </c>
      <c r="C1288" s="40" t="s">
        <v>520</v>
      </c>
      <c r="D1288" s="74" t="s">
        <v>1269</v>
      </c>
      <c r="E1288" s="74" t="s">
        <v>1266</v>
      </c>
      <c r="F1288" s="74" t="s">
        <v>1268</v>
      </c>
      <c r="G1288" s="74" t="s">
        <v>1268</v>
      </c>
    </row>
    <row r="1289" spans="1:7" x14ac:dyDescent="0.2">
      <c r="A1289" s="40">
        <v>5311</v>
      </c>
      <c r="B1289" s="39" t="s">
        <v>2124</v>
      </c>
      <c r="C1289" s="40" t="s">
        <v>520</v>
      </c>
      <c r="D1289" s="74" t="s">
        <v>1269</v>
      </c>
      <c r="E1289" s="74" t="s">
        <v>1266</v>
      </c>
      <c r="F1289" s="74" t="s">
        <v>1268</v>
      </c>
      <c r="G1289" s="74" t="s">
        <v>1267</v>
      </c>
    </row>
    <row r="1290" spans="1:7" x14ac:dyDescent="0.2">
      <c r="A1290" s="40">
        <v>5321</v>
      </c>
      <c r="B1290" s="39" t="s">
        <v>2125</v>
      </c>
      <c r="C1290" s="40" t="s">
        <v>669</v>
      </c>
      <c r="D1290" s="74" t="s">
        <v>1269</v>
      </c>
      <c r="E1290" s="74" t="s">
        <v>1266</v>
      </c>
      <c r="F1290" s="74" t="s">
        <v>1268</v>
      </c>
      <c r="G1290" s="74" t="s">
        <v>1267</v>
      </c>
    </row>
    <row r="1291" spans="1:7" x14ac:dyDescent="0.2">
      <c r="A1291" s="40">
        <v>5322</v>
      </c>
      <c r="B1291" s="39" t="s">
        <v>2126</v>
      </c>
      <c r="C1291" s="40" t="s">
        <v>669</v>
      </c>
      <c r="D1291" s="74" t="s">
        <v>1269</v>
      </c>
      <c r="E1291" s="74" t="s">
        <v>1266</v>
      </c>
      <c r="F1291" s="74" t="s">
        <v>1268</v>
      </c>
      <c r="G1291" s="74" t="s">
        <v>1268</v>
      </c>
    </row>
    <row r="1292" spans="1:7" x14ac:dyDescent="0.2">
      <c r="A1292" s="40">
        <v>5323</v>
      </c>
      <c r="B1292" s="39" t="s">
        <v>2127</v>
      </c>
      <c r="C1292" s="40" t="s">
        <v>669</v>
      </c>
      <c r="D1292" s="74" t="s">
        <v>1269</v>
      </c>
      <c r="E1292" s="74" t="s">
        <v>1266</v>
      </c>
      <c r="F1292" s="74" t="s">
        <v>1268</v>
      </c>
      <c r="G1292" s="74" t="s">
        <v>1267</v>
      </c>
    </row>
    <row r="1293" spans="1:7" x14ac:dyDescent="0.2">
      <c r="A1293" s="40">
        <v>5324</v>
      </c>
      <c r="B1293" s="39" t="s">
        <v>2128</v>
      </c>
      <c r="C1293" s="40" t="s">
        <v>669</v>
      </c>
      <c r="D1293" s="74" t="s">
        <v>1269</v>
      </c>
      <c r="E1293" s="74" t="s">
        <v>1266</v>
      </c>
      <c r="F1293" s="74" t="s">
        <v>1268</v>
      </c>
      <c r="G1293" s="74" t="s">
        <v>1268</v>
      </c>
    </row>
    <row r="1294" spans="1:7" x14ac:dyDescent="0.2">
      <c r="A1294" s="40">
        <v>5325</v>
      </c>
      <c r="B1294" s="39" t="s">
        <v>2129</v>
      </c>
      <c r="C1294" s="40" t="s">
        <v>669</v>
      </c>
      <c r="D1294" s="74" t="s">
        <v>1269</v>
      </c>
      <c r="E1294" s="74" t="s">
        <v>1266</v>
      </c>
      <c r="F1294" s="74" t="s">
        <v>1268</v>
      </c>
      <c r="G1294" s="74" t="s">
        <v>1267</v>
      </c>
    </row>
    <row r="1295" spans="1:7" x14ac:dyDescent="0.2">
      <c r="A1295" s="40">
        <v>5330</v>
      </c>
      <c r="B1295" s="39" t="s">
        <v>2130</v>
      </c>
      <c r="C1295" s="40" t="s">
        <v>669</v>
      </c>
      <c r="D1295" s="74" t="s">
        <v>1269</v>
      </c>
      <c r="E1295" s="74" t="s">
        <v>1266</v>
      </c>
      <c r="F1295" s="74" t="s">
        <v>1268</v>
      </c>
      <c r="G1295" s="74" t="s">
        <v>1268</v>
      </c>
    </row>
    <row r="1296" spans="1:7" x14ac:dyDescent="0.2">
      <c r="A1296" s="40">
        <v>5340</v>
      </c>
      <c r="B1296" s="39" t="s">
        <v>2131</v>
      </c>
      <c r="C1296" s="40" t="s">
        <v>669</v>
      </c>
      <c r="D1296" s="74" t="s">
        <v>1269</v>
      </c>
      <c r="E1296" s="74" t="s">
        <v>1266</v>
      </c>
      <c r="F1296" s="74" t="s">
        <v>1268</v>
      </c>
      <c r="G1296" s="74" t="s">
        <v>1268</v>
      </c>
    </row>
    <row r="1297" spans="1:7" x14ac:dyDescent="0.2">
      <c r="A1297" s="40">
        <v>5342</v>
      </c>
      <c r="B1297" s="39" t="s">
        <v>2132</v>
      </c>
      <c r="C1297" s="40" t="s">
        <v>669</v>
      </c>
      <c r="D1297" s="74" t="s">
        <v>1269</v>
      </c>
      <c r="E1297" s="74" t="s">
        <v>1266</v>
      </c>
      <c r="F1297" s="74" t="s">
        <v>1268</v>
      </c>
      <c r="G1297" s="74" t="s">
        <v>1267</v>
      </c>
    </row>
    <row r="1298" spans="1:7" x14ac:dyDescent="0.2">
      <c r="A1298" s="40">
        <v>5350</v>
      </c>
      <c r="B1298" s="39" t="s">
        <v>2133</v>
      </c>
      <c r="C1298" s="40" t="s">
        <v>669</v>
      </c>
      <c r="D1298" s="74" t="s">
        <v>1269</v>
      </c>
      <c r="E1298" s="74" t="s">
        <v>1266</v>
      </c>
      <c r="F1298" s="74" t="s">
        <v>1268</v>
      </c>
      <c r="G1298" s="74" t="s">
        <v>1268</v>
      </c>
    </row>
    <row r="1299" spans="1:7" x14ac:dyDescent="0.2">
      <c r="A1299" s="40">
        <v>5351</v>
      </c>
      <c r="B1299" s="39" t="s">
        <v>2134</v>
      </c>
      <c r="C1299" s="40" t="s">
        <v>669</v>
      </c>
      <c r="D1299" s="74" t="s">
        <v>1269</v>
      </c>
      <c r="E1299" s="74" t="s">
        <v>1266</v>
      </c>
      <c r="F1299" s="74" t="s">
        <v>1268</v>
      </c>
      <c r="G1299" s="74" t="s">
        <v>1267</v>
      </c>
    </row>
    <row r="1300" spans="1:7" x14ac:dyDescent="0.2">
      <c r="A1300" s="40">
        <v>5360</v>
      </c>
      <c r="B1300" s="39" t="s">
        <v>2135</v>
      </c>
      <c r="C1300" s="40" t="s">
        <v>520</v>
      </c>
      <c r="D1300" s="74" t="s">
        <v>1269</v>
      </c>
      <c r="E1300" s="74" t="s">
        <v>1266</v>
      </c>
      <c r="F1300" s="74" t="s">
        <v>1268</v>
      </c>
      <c r="G1300" s="74" t="s">
        <v>1268</v>
      </c>
    </row>
    <row r="1301" spans="1:7" x14ac:dyDescent="0.2">
      <c r="A1301" s="40">
        <v>5400</v>
      </c>
      <c r="B1301" s="39" t="s">
        <v>2136</v>
      </c>
      <c r="C1301" s="40" t="s">
        <v>669</v>
      </c>
      <c r="D1301" s="74" t="s">
        <v>1269</v>
      </c>
      <c r="E1301" s="74" t="s">
        <v>1266</v>
      </c>
      <c r="F1301" s="74" t="s">
        <v>1268</v>
      </c>
      <c r="G1301" s="74" t="s">
        <v>1268</v>
      </c>
    </row>
    <row r="1302" spans="1:7" x14ac:dyDescent="0.2">
      <c r="A1302" s="40">
        <v>5409</v>
      </c>
      <c r="B1302" s="39" t="s">
        <v>2136</v>
      </c>
      <c r="C1302" s="40" t="s">
        <v>669</v>
      </c>
      <c r="D1302" s="74" t="s">
        <v>1271</v>
      </c>
      <c r="E1302" s="74" t="s">
        <v>1266</v>
      </c>
      <c r="F1302" s="74" t="s">
        <v>1267</v>
      </c>
      <c r="G1302" s="74" t="s">
        <v>1268</v>
      </c>
    </row>
    <row r="1303" spans="1:7" x14ac:dyDescent="0.2">
      <c r="A1303" s="40">
        <v>5411</v>
      </c>
      <c r="B1303" s="39" t="s">
        <v>2137</v>
      </c>
      <c r="C1303" s="40" t="s">
        <v>669</v>
      </c>
      <c r="D1303" s="74" t="s">
        <v>1269</v>
      </c>
      <c r="E1303" s="74" t="s">
        <v>1266</v>
      </c>
      <c r="F1303" s="74" t="s">
        <v>1268</v>
      </c>
      <c r="G1303" s="74" t="s">
        <v>1268</v>
      </c>
    </row>
    <row r="1304" spans="1:7" x14ac:dyDescent="0.2">
      <c r="A1304" s="40">
        <v>5412</v>
      </c>
      <c r="B1304" s="39" t="s">
        <v>2138</v>
      </c>
      <c r="C1304" s="40" t="s">
        <v>669</v>
      </c>
      <c r="D1304" s="74" t="s">
        <v>1269</v>
      </c>
      <c r="E1304" s="74" t="s">
        <v>1266</v>
      </c>
      <c r="F1304" s="74" t="s">
        <v>1268</v>
      </c>
      <c r="G1304" s="74" t="s">
        <v>1268</v>
      </c>
    </row>
    <row r="1305" spans="1:7" x14ac:dyDescent="0.2">
      <c r="A1305" s="40">
        <v>5421</v>
      </c>
      <c r="B1305" s="39" t="s">
        <v>2139</v>
      </c>
      <c r="C1305" s="40" t="s">
        <v>669</v>
      </c>
      <c r="D1305" s="74" t="s">
        <v>1269</v>
      </c>
      <c r="E1305" s="74" t="s">
        <v>1266</v>
      </c>
      <c r="F1305" s="74" t="s">
        <v>1268</v>
      </c>
      <c r="G1305" s="74" t="s">
        <v>1268</v>
      </c>
    </row>
    <row r="1306" spans="1:7" x14ac:dyDescent="0.2">
      <c r="A1306" s="40">
        <v>5422</v>
      </c>
      <c r="B1306" s="39" t="s">
        <v>2140</v>
      </c>
      <c r="C1306" s="40" t="s">
        <v>669</v>
      </c>
      <c r="D1306" s="74" t="s">
        <v>1269</v>
      </c>
      <c r="E1306" s="74" t="s">
        <v>1266</v>
      </c>
      <c r="F1306" s="74" t="s">
        <v>1268</v>
      </c>
      <c r="G1306" s="74" t="s">
        <v>1267</v>
      </c>
    </row>
    <row r="1307" spans="1:7" x14ac:dyDescent="0.2">
      <c r="A1307" s="40">
        <v>5423</v>
      </c>
      <c r="B1307" s="39" t="s">
        <v>2141</v>
      </c>
      <c r="C1307" s="40" t="s">
        <v>669</v>
      </c>
      <c r="D1307" s="74" t="s">
        <v>1269</v>
      </c>
      <c r="E1307" s="74" t="s">
        <v>1266</v>
      </c>
      <c r="F1307" s="74" t="s">
        <v>1268</v>
      </c>
      <c r="G1307" s="74" t="s">
        <v>1267</v>
      </c>
    </row>
    <row r="1308" spans="1:7" x14ac:dyDescent="0.2">
      <c r="A1308" s="40">
        <v>5424</v>
      </c>
      <c r="B1308" s="39" t="s">
        <v>2142</v>
      </c>
      <c r="C1308" s="40" t="s">
        <v>669</v>
      </c>
      <c r="D1308" s="74" t="s">
        <v>1269</v>
      </c>
      <c r="E1308" s="74" t="s">
        <v>1266</v>
      </c>
      <c r="F1308" s="74" t="s">
        <v>1268</v>
      </c>
      <c r="G1308" s="74" t="s">
        <v>1267</v>
      </c>
    </row>
    <row r="1309" spans="1:7" x14ac:dyDescent="0.2">
      <c r="A1309" s="40">
        <v>5431</v>
      </c>
      <c r="B1309" s="39" t="s">
        <v>2143</v>
      </c>
      <c r="C1309" s="40" t="s">
        <v>669</v>
      </c>
      <c r="D1309" s="74" t="s">
        <v>1269</v>
      </c>
      <c r="E1309" s="74" t="s">
        <v>1266</v>
      </c>
      <c r="F1309" s="74" t="s">
        <v>1268</v>
      </c>
      <c r="G1309" s="74" t="s">
        <v>1268</v>
      </c>
    </row>
    <row r="1310" spans="1:7" x14ac:dyDescent="0.2">
      <c r="A1310" s="40">
        <v>5440</v>
      </c>
      <c r="B1310" s="39" t="s">
        <v>2144</v>
      </c>
      <c r="C1310" s="40" t="s">
        <v>669</v>
      </c>
      <c r="D1310" s="74" t="s">
        <v>1269</v>
      </c>
      <c r="E1310" s="74" t="s">
        <v>1266</v>
      </c>
      <c r="F1310" s="74" t="s">
        <v>1268</v>
      </c>
      <c r="G1310" s="74" t="s">
        <v>1268</v>
      </c>
    </row>
    <row r="1311" spans="1:7" x14ac:dyDescent="0.2">
      <c r="A1311" s="40">
        <v>5441</v>
      </c>
      <c r="B1311" s="39" t="s">
        <v>2145</v>
      </c>
      <c r="C1311" s="40" t="s">
        <v>669</v>
      </c>
      <c r="D1311" s="74" t="s">
        <v>1269</v>
      </c>
      <c r="E1311" s="74" t="s">
        <v>1266</v>
      </c>
      <c r="F1311" s="74" t="s">
        <v>1268</v>
      </c>
      <c r="G1311" s="74" t="s">
        <v>1268</v>
      </c>
    </row>
    <row r="1312" spans="1:7" x14ac:dyDescent="0.2">
      <c r="A1312" s="40">
        <v>5442</v>
      </c>
      <c r="B1312" s="39" t="s">
        <v>2146</v>
      </c>
      <c r="C1312" s="40" t="s">
        <v>669</v>
      </c>
      <c r="D1312" s="74" t="s">
        <v>1269</v>
      </c>
      <c r="E1312" s="74" t="s">
        <v>1266</v>
      </c>
      <c r="F1312" s="74" t="s">
        <v>1268</v>
      </c>
      <c r="G1312" s="74" t="s">
        <v>1267</v>
      </c>
    </row>
    <row r="1313" spans="1:7" x14ac:dyDescent="0.2">
      <c r="A1313" s="40">
        <v>5450</v>
      </c>
      <c r="B1313" s="39" t="s">
        <v>2147</v>
      </c>
      <c r="C1313" s="40" t="s">
        <v>669</v>
      </c>
      <c r="D1313" s="74" t="s">
        <v>1269</v>
      </c>
      <c r="E1313" s="74" t="s">
        <v>1266</v>
      </c>
      <c r="F1313" s="74" t="s">
        <v>1268</v>
      </c>
      <c r="G1313" s="74" t="s">
        <v>1268</v>
      </c>
    </row>
    <row r="1314" spans="1:7" x14ac:dyDescent="0.2">
      <c r="A1314" s="40">
        <v>5451</v>
      </c>
      <c r="B1314" s="39" t="s">
        <v>2148</v>
      </c>
      <c r="C1314" s="40" t="s">
        <v>669</v>
      </c>
      <c r="D1314" s="74" t="s">
        <v>1269</v>
      </c>
      <c r="E1314" s="74" t="s">
        <v>1266</v>
      </c>
      <c r="F1314" s="74" t="s">
        <v>1268</v>
      </c>
      <c r="G1314" s="74" t="s">
        <v>1267</v>
      </c>
    </row>
    <row r="1315" spans="1:7" x14ac:dyDescent="0.2">
      <c r="A1315" s="40">
        <v>5452</v>
      </c>
      <c r="B1315" s="39" t="s">
        <v>2149</v>
      </c>
      <c r="C1315" s="40" t="s">
        <v>669</v>
      </c>
      <c r="D1315" s="74" t="s">
        <v>1269</v>
      </c>
      <c r="E1315" s="74" t="s">
        <v>1266</v>
      </c>
      <c r="F1315" s="74" t="s">
        <v>1268</v>
      </c>
      <c r="G1315" s="74" t="s">
        <v>1268</v>
      </c>
    </row>
    <row r="1316" spans="1:7" x14ac:dyDescent="0.2">
      <c r="A1316" s="40">
        <v>5453</v>
      </c>
      <c r="B1316" s="39" t="s">
        <v>2150</v>
      </c>
      <c r="C1316" s="40" t="s">
        <v>669</v>
      </c>
      <c r="D1316" s="74" t="s">
        <v>1269</v>
      </c>
      <c r="E1316" s="74" t="s">
        <v>1266</v>
      </c>
      <c r="F1316" s="74" t="s">
        <v>1268</v>
      </c>
      <c r="G1316" s="74" t="s">
        <v>1267</v>
      </c>
    </row>
    <row r="1317" spans="1:7" x14ac:dyDescent="0.2">
      <c r="A1317" s="40">
        <v>5500</v>
      </c>
      <c r="B1317" s="39" t="s">
        <v>2151</v>
      </c>
      <c r="C1317" s="40" t="s">
        <v>669</v>
      </c>
      <c r="D1317" s="74" t="s">
        <v>1269</v>
      </c>
      <c r="E1317" s="74" t="s">
        <v>1266</v>
      </c>
      <c r="F1317" s="74" t="s">
        <v>1268</v>
      </c>
      <c r="G1317" s="74" t="s">
        <v>1268</v>
      </c>
    </row>
    <row r="1318" spans="1:7" x14ac:dyDescent="0.2">
      <c r="A1318" s="40">
        <v>5505</v>
      </c>
      <c r="B1318" s="39" t="s">
        <v>2152</v>
      </c>
      <c r="C1318" s="40" t="s">
        <v>669</v>
      </c>
      <c r="D1318" s="74" t="s">
        <v>1269</v>
      </c>
      <c r="E1318" s="74" t="s">
        <v>1266</v>
      </c>
      <c r="F1318" s="74" t="s">
        <v>1268</v>
      </c>
      <c r="G1318" s="74" t="s">
        <v>1268</v>
      </c>
    </row>
    <row r="1319" spans="1:7" x14ac:dyDescent="0.2">
      <c r="A1319" s="40">
        <v>5511</v>
      </c>
      <c r="B1319" s="39" t="s">
        <v>2153</v>
      </c>
      <c r="C1319" s="40" t="s">
        <v>669</v>
      </c>
      <c r="D1319" s="74" t="s">
        <v>1269</v>
      </c>
      <c r="E1319" s="74" t="s">
        <v>1266</v>
      </c>
      <c r="F1319" s="74" t="s">
        <v>1268</v>
      </c>
      <c r="G1319" s="74" t="s">
        <v>1267</v>
      </c>
    </row>
    <row r="1320" spans="1:7" x14ac:dyDescent="0.2">
      <c r="A1320" s="40">
        <v>5521</v>
      </c>
      <c r="B1320" s="39" t="s">
        <v>2154</v>
      </c>
      <c r="C1320" s="40" t="s">
        <v>669</v>
      </c>
      <c r="D1320" s="74" t="s">
        <v>1269</v>
      </c>
      <c r="E1320" s="74" t="s">
        <v>1266</v>
      </c>
      <c r="F1320" s="74" t="s">
        <v>1268</v>
      </c>
      <c r="G1320" s="74" t="s">
        <v>1267</v>
      </c>
    </row>
    <row r="1321" spans="1:7" x14ac:dyDescent="0.2">
      <c r="A1321" s="40">
        <v>5522</v>
      </c>
      <c r="B1321" s="39" t="s">
        <v>2155</v>
      </c>
      <c r="C1321" s="40" t="s">
        <v>669</v>
      </c>
      <c r="D1321" s="74" t="s">
        <v>1269</v>
      </c>
      <c r="E1321" s="74" t="s">
        <v>1266</v>
      </c>
      <c r="F1321" s="74" t="s">
        <v>1268</v>
      </c>
      <c r="G1321" s="74" t="s">
        <v>1268</v>
      </c>
    </row>
    <row r="1322" spans="1:7" x14ac:dyDescent="0.2">
      <c r="A1322" s="40">
        <v>5523</v>
      </c>
      <c r="B1322" s="39" t="s">
        <v>2156</v>
      </c>
      <c r="C1322" s="40" t="s">
        <v>669</v>
      </c>
      <c r="D1322" s="74" t="s">
        <v>1269</v>
      </c>
      <c r="E1322" s="74" t="s">
        <v>1266</v>
      </c>
      <c r="F1322" s="74" t="s">
        <v>1268</v>
      </c>
      <c r="G1322" s="74" t="s">
        <v>1267</v>
      </c>
    </row>
    <row r="1323" spans="1:7" x14ac:dyDescent="0.2">
      <c r="A1323" s="40">
        <v>5524</v>
      </c>
      <c r="B1323" s="39" t="s">
        <v>479</v>
      </c>
      <c r="C1323" s="40" t="s">
        <v>669</v>
      </c>
      <c r="D1323" s="74" t="s">
        <v>1269</v>
      </c>
      <c r="E1323" s="74" t="s">
        <v>1266</v>
      </c>
      <c r="F1323" s="74" t="s">
        <v>1268</v>
      </c>
      <c r="G1323" s="74" t="s">
        <v>1268</v>
      </c>
    </row>
    <row r="1324" spans="1:7" x14ac:dyDescent="0.2">
      <c r="A1324" s="40">
        <v>5531</v>
      </c>
      <c r="B1324" s="39" t="s">
        <v>2157</v>
      </c>
      <c r="C1324" s="40" t="s">
        <v>669</v>
      </c>
      <c r="D1324" s="74" t="s">
        <v>1269</v>
      </c>
      <c r="E1324" s="74" t="s">
        <v>1266</v>
      </c>
      <c r="F1324" s="74" t="s">
        <v>1268</v>
      </c>
      <c r="G1324" s="74" t="s">
        <v>1268</v>
      </c>
    </row>
    <row r="1325" spans="1:7" x14ac:dyDescent="0.2">
      <c r="A1325" s="40">
        <v>5532</v>
      </c>
      <c r="B1325" s="39" t="s">
        <v>2158</v>
      </c>
      <c r="C1325" s="40" t="s">
        <v>669</v>
      </c>
      <c r="D1325" s="74" t="s">
        <v>1269</v>
      </c>
      <c r="E1325" s="74" t="s">
        <v>1266</v>
      </c>
      <c r="F1325" s="74" t="s">
        <v>1268</v>
      </c>
      <c r="G1325" s="74" t="s">
        <v>1268</v>
      </c>
    </row>
    <row r="1326" spans="1:7" x14ac:dyDescent="0.2">
      <c r="A1326" s="40">
        <v>5541</v>
      </c>
      <c r="B1326" s="39" t="s">
        <v>2159</v>
      </c>
      <c r="C1326" s="40" t="s">
        <v>669</v>
      </c>
      <c r="D1326" s="74" t="s">
        <v>1269</v>
      </c>
      <c r="E1326" s="74" t="s">
        <v>1266</v>
      </c>
      <c r="F1326" s="74" t="s">
        <v>1268</v>
      </c>
      <c r="G1326" s="74" t="s">
        <v>1268</v>
      </c>
    </row>
    <row r="1327" spans="1:7" x14ac:dyDescent="0.2">
      <c r="A1327" s="40">
        <v>5542</v>
      </c>
      <c r="B1327" s="39" t="s">
        <v>2160</v>
      </c>
      <c r="C1327" s="40" t="s">
        <v>669</v>
      </c>
      <c r="D1327" s="74" t="s">
        <v>1269</v>
      </c>
      <c r="E1327" s="74" t="s">
        <v>1266</v>
      </c>
      <c r="F1327" s="74" t="s">
        <v>1268</v>
      </c>
      <c r="G1327" s="74" t="s">
        <v>1268</v>
      </c>
    </row>
    <row r="1328" spans="1:7" x14ac:dyDescent="0.2">
      <c r="A1328" s="40">
        <v>5550</v>
      </c>
      <c r="B1328" s="39" t="s">
        <v>2161</v>
      </c>
      <c r="C1328" s="40" t="s">
        <v>669</v>
      </c>
      <c r="D1328" s="74" t="s">
        <v>1269</v>
      </c>
      <c r="E1328" s="74" t="s">
        <v>1266</v>
      </c>
      <c r="F1328" s="74" t="s">
        <v>1268</v>
      </c>
      <c r="G1328" s="74" t="s">
        <v>1268</v>
      </c>
    </row>
    <row r="1329" spans="1:7" x14ac:dyDescent="0.2">
      <c r="A1329" s="40">
        <v>5552</v>
      </c>
      <c r="B1329" s="39" t="s">
        <v>2371</v>
      </c>
      <c r="C1329" s="40" t="s">
        <v>669</v>
      </c>
      <c r="D1329" s="74" t="s">
        <v>1269</v>
      </c>
      <c r="E1329" s="74" t="s">
        <v>1266</v>
      </c>
      <c r="F1329" s="74" t="s">
        <v>1268</v>
      </c>
      <c r="G1329" s="74" t="s">
        <v>1267</v>
      </c>
    </row>
    <row r="1330" spans="1:7" x14ac:dyDescent="0.2">
      <c r="A1330" s="40">
        <v>5561</v>
      </c>
      <c r="B1330" s="39" t="s">
        <v>2372</v>
      </c>
      <c r="C1330" s="40" t="s">
        <v>669</v>
      </c>
      <c r="D1330" s="74" t="s">
        <v>1269</v>
      </c>
      <c r="E1330" s="74" t="s">
        <v>1266</v>
      </c>
      <c r="F1330" s="74" t="s">
        <v>1268</v>
      </c>
      <c r="G1330" s="74" t="s">
        <v>1267</v>
      </c>
    </row>
    <row r="1331" spans="1:7" x14ac:dyDescent="0.2">
      <c r="A1331" s="40">
        <v>5562</v>
      </c>
      <c r="B1331" s="39" t="s">
        <v>2373</v>
      </c>
      <c r="C1331" s="40" t="s">
        <v>669</v>
      </c>
      <c r="D1331" s="74" t="s">
        <v>1269</v>
      </c>
      <c r="E1331" s="74" t="s">
        <v>1266</v>
      </c>
      <c r="F1331" s="74" t="s">
        <v>1268</v>
      </c>
      <c r="G1331" s="74" t="s">
        <v>1268</v>
      </c>
    </row>
    <row r="1332" spans="1:7" x14ac:dyDescent="0.2">
      <c r="A1332" s="40">
        <v>5563</v>
      </c>
      <c r="B1332" s="39" t="s">
        <v>2374</v>
      </c>
      <c r="C1332" s="40" t="s">
        <v>669</v>
      </c>
      <c r="D1332" s="74" t="s">
        <v>1269</v>
      </c>
      <c r="E1332" s="74" t="s">
        <v>1266</v>
      </c>
      <c r="F1332" s="74" t="s">
        <v>1268</v>
      </c>
      <c r="G1332" s="74" t="s">
        <v>1267</v>
      </c>
    </row>
    <row r="1333" spans="1:7" x14ac:dyDescent="0.2">
      <c r="A1333" s="40">
        <v>5570</v>
      </c>
      <c r="B1333" s="39" t="s">
        <v>2375</v>
      </c>
      <c r="C1333" s="40" t="s">
        <v>669</v>
      </c>
      <c r="D1333" s="74" t="s">
        <v>1269</v>
      </c>
      <c r="E1333" s="74" t="s">
        <v>1266</v>
      </c>
      <c r="F1333" s="74" t="s">
        <v>1268</v>
      </c>
      <c r="G1333" s="74" t="s">
        <v>1268</v>
      </c>
    </row>
    <row r="1334" spans="1:7" x14ac:dyDescent="0.2">
      <c r="A1334" s="40">
        <v>5571</v>
      </c>
      <c r="B1334" s="39" t="s">
        <v>2376</v>
      </c>
      <c r="C1334" s="40" t="s">
        <v>669</v>
      </c>
      <c r="D1334" s="74" t="s">
        <v>1269</v>
      </c>
      <c r="E1334" s="74" t="s">
        <v>1266</v>
      </c>
      <c r="F1334" s="74" t="s">
        <v>1268</v>
      </c>
      <c r="G1334" s="74" t="s">
        <v>1268</v>
      </c>
    </row>
    <row r="1335" spans="1:7" x14ac:dyDescent="0.2">
      <c r="A1335" s="40">
        <v>5572</v>
      </c>
      <c r="B1335" s="39" t="s">
        <v>2377</v>
      </c>
      <c r="C1335" s="40" t="s">
        <v>669</v>
      </c>
      <c r="D1335" s="74" t="s">
        <v>1269</v>
      </c>
      <c r="E1335" s="74" t="s">
        <v>1266</v>
      </c>
      <c r="F1335" s="74" t="s">
        <v>1268</v>
      </c>
      <c r="G1335" s="74" t="s">
        <v>1267</v>
      </c>
    </row>
    <row r="1336" spans="1:7" x14ac:dyDescent="0.2">
      <c r="A1336" s="40">
        <v>5573</v>
      </c>
      <c r="B1336" s="39" t="s">
        <v>2378</v>
      </c>
      <c r="C1336" s="40" t="s">
        <v>669</v>
      </c>
      <c r="D1336" s="74" t="s">
        <v>1269</v>
      </c>
      <c r="E1336" s="74" t="s">
        <v>1266</v>
      </c>
      <c r="F1336" s="74" t="s">
        <v>1268</v>
      </c>
      <c r="G1336" s="74" t="s">
        <v>1267</v>
      </c>
    </row>
    <row r="1337" spans="1:7" x14ac:dyDescent="0.2">
      <c r="A1337" s="40">
        <v>5580</v>
      </c>
      <c r="B1337" s="39" t="s">
        <v>2379</v>
      </c>
      <c r="C1337" s="40" t="s">
        <v>669</v>
      </c>
      <c r="D1337" s="74" t="s">
        <v>1269</v>
      </c>
      <c r="E1337" s="74" t="s">
        <v>1266</v>
      </c>
      <c r="F1337" s="74" t="s">
        <v>1268</v>
      </c>
      <c r="G1337" s="74" t="s">
        <v>1268</v>
      </c>
    </row>
    <row r="1338" spans="1:7" x14ac:dyDescent="0.2">
      <c r="A1338" s="40">
        <v>5581</v>
      </c>
      <c r="B1338" s="39" t="s">
        <v>2380</v>
      </c>
      <c r="C1338" s="40" t="s">
        <v>669</v>
      </c>
      <c r="D1338" s="74" t="s">
        <v>1269</v>
      </c>
      <c r="E1338" s="74" t="s">
        <v>1266</v>
      </c>
      <c r="F1338" s="74" t="s">
        <v>1268</v>
      </c>
      <c r="G1338" s="74" t="s">
        <v>1267</v>
      </c>
    </row>
    <row r="1339" spans="1:7" x14ac:dyDescent="0.2">
      <c r="A1339" s="40">
        <v>5582</v>
      </c>
      <c r="B1339" s="39" t="s">
        <v>2381</v>
      </c>
      <c r="C1339" s="40" t="s">
        <v>669</v>
      </c>
      <c r="D1339" s="74" t="s">
        <v>1269</v>
      </c>
      <c r="E1339" s="74" t="s">
        <v>1266</v>
      </c>
      <c r="F1339" s="74" t="s">
        <v>1268</v>
      </c>
      <c r="G1339" s="74" t="s">
        <v>1268</v>
      </c>
    </row>
    <row r="1340" spans="1:7" x14ac:dyDescent="0.2">
      <c r="A1340" s="40">
        <v>5583</v>
      </c>
      <c r="B1340" s="39" t="s">
        <v>2382</v>
      </c>
      <c r="C1340" s="40" t="s">
        <v>669</v>
      </c>
      <c r="D1340" s="74" t="s">
        <v>1269</v>
      </c>
      <c r="E1340" s="74" t="s">
        <v>1266</v>
      </c>
      <c r="F1340" s="74" t="s">
        <v>1268</v>
      </c>
      <c r="G1340" s="74" t="s">
        <v>1267</v>
      </c>
    </row>
    <row r="1341" spans="1:7" x14ac:dyDescent="0.2">
      <c r="A1341" s="40">
        <v>5584</v>
      </c>
      <c r="B1341" s="39" t="s">
        <v>2383</v>
      </c>
      <c r="C1341" s="40" t="s">
        <v>669</v>
      </c>
      <c r="D1341" s="74" t="s">
        <v>1269</v>
      </c>
      <c r="E1341" s="74" t="s">
        <v>1266</v>
      </c>
      <c r="F1341" s="74" t="s">
        <v>1268</v>
      </c>
      <c r="G1341" s="74" t="s">
        <v>1267</v>
      </c>
    </row>
    <row r="1342" spans="1:7" x14ac:dyDescent="0.2">
      <c r="A1342" s="40">
        <v>5585</v>
      </c>
      <c r="B1342" s="39" t="s">
        <v>2384</v>
      </c>
      <c r="C1342" s="40" t="s">
        <v>669</v>
      </c>
      <c r="D1342" s="74" t="s">
        <v>1269</v>
      </c>
      <c r="E1342" s="74" t="s">
        <v>1266</v>
      </c>
      <c r="F1342" s="74" t="s">
        <v>1268</v>
      </c>
      <c r="G1342" s="74" t="s">
        <v>1267</v>
      </c>
    </row>
    <row r="1343" spans="1:7" x14ac:dyDescent="0.2">
      <c r="A1343" s="40">
        <v>5591</v>
      </c>
      <c r="B1343" s="39" t="s">
        <v>2385</v>
      </c>
      <c r="C1343" s="40" t="s">
        <v>669</v>
      </c>
      <c r="D1343" s="74" t="s">
        <v>1269</v>
      </c>
      <c r="E1343" s="74" t="s">
        <v>1266</v>
      </c>
      <c r="F1343" s="74" t="s">
        <v>1268</v>
      </c>
      <c r="G1343" s="74" t="s">
        <v>1267</v>
      </c>
    </row>
    <row r="1344" spans="1:7" x14ac:dyDescent="0.2">
      <c r="A1344" s="40">
        <v>5592</v>
      </c>
      <c r="B1344" s="39" t="s">
        <v>2386</v>
      </c>
      <c r="C1344" s="40" t="s">
        <v>669</v>
      </c>
      <c r="D1344" s="74" t="s">
        <v>1269</v>
      </c>
      <c r="E1344" s="74" t="s">
        <v>1266</v>
      </c>
      <c r="F1344" s="74" t="s">
        <v>1268</v>
      </c>
      <c r="G1344" s="74" t="s">
        <v>1267</v>
      </c>
    </row>
    <row r="1345" spans="1:7" x14ac:dyDescent="0.2">
      <c r="A1345" s="40">
        <v>5600</v>
      </c>
      <c r="B1345" s="39" t="s">
        <v>2387</v>
      </c>
      <c r="C1345" s="40" t="s">
        <v>669</v>
      </c>
      <c r="D1345" s="74" t="s">
        <v>1269</v>
      </c>
      <c r="E1345" s="74" t="s">
        <v>1266</v>
      </c>
      <c r="F1345" s="74" t="s">
        <v>1268</v>
      </c>
      <c r="G1345" s="74" t="s">
        <v>1268</v>
      </c>
    </row>
    <row r="1346" spans="1:7" x14ac:dyDescent="0.2">
      <c r="A1346" s="40">
        <v>5602</v>
      </c>
      <c r="B1346" s="39" t="s">
        <v>2388</v>
      </c>
      <c r="C1346" s="40" t="s">
        <v>669</v>
      </c>
      <c r="D1346" s="74" t="s">
        <v>1269</v>
      </c>
      <c r="E1346" s="74" t="s">
        <v>1266</v>
      </c>
      <c r="F1346" s="74" t="s">
        <v>1268</v>
      </c>
      <c r="G1346" s="74" t="s">
        <v>1268</v>
      </c>
    </row>
    <row r="1347" spans="1:7" x14ac:dyDescent="0.2">
      <c r="A1347" s="40">
        <v>5603</v>
      </c>
      <c r="B1347" s="39" t="s">
        <v>2389</v>
      </c>
      <c r="C1347" s="40" t="s">
        <v>669</v>
      </c>
      <c r="D1347" s="74" t="s">
        <v>1269</v>
      </c>
      <c r="E1347" s="74" t="s">
        <v>1266</v>
      </c>
      <c r="F1347" s="74" t="s">
        <v>1268</v>
      </c>
      <c r="G1347" s="74" t="s">
        <v>1267</v>
      </c>
    </row>
    <row r="1348" spans="1:7" x14ac:dyDescent="0.2">
      <c r="A1348" s="40">
        <v>5611</v>
      </c>
      <c r="B1348" s="39" t="s">
        <v>2390</v>
      </c>
      <c r="C1348" s="40" t="s">
        <v>669</v>
      </c>
      <c r="D1348" s="74" t="s">
        <v>1269</v>
      </c>
      <c r="E1348" s="74" t="s">
        <v>1266</v>
      </c>
      <c r="F1348" s="74" t="s">
        <v>1268</v>
      </c>
      <c r="G1348" s="74" t="s">
        <v>1268</v>
      </c>
    </row>
    <row r="1349" spans="1:7" x14ac:dyDescent="0.2">
      <c r="A1349" s="40">
        <v>5612</v>
      </c>
      <c r="B1349" s="39" t="s">
        <v>2391</v>
      </c>
      <c r="C1349" s="40" t="s">
        <v>669</v>
      </c>
      <c r="D1349" s="74" t="s">
        <v>1269</v>
      </c>
      <c r="E1349" s="74" t="s">
        <v>1266</v>
      </c>
      <c r="F1349" s="74" t="s">
        <v>1268</v>
      </c>
      <c r="G1349" s="74" t="s">
        <v>1267</v>
      </c>
    </row>
    <row r="1350" spans="1:7" x14ac:dyDescent="0.2">
      <c r="A1350" s="40">
        <v>5620</v>
      </c>
      <c r="B1350" s="39" t="s">
        <v>2392</v>
      </c>
      <c r="C1350" s="40" t="s">
        <v>669</v>
      </c>
      <c r="D1350" s="74" t="s">
        <v>1269</v>
      </c>
      <c r="E1350" s="74" t="s">
        <v>1266</v>
      </c>
      <c r="F1350" s="74" t="s">
        <v>1268</v>
      </c>
      <c r="G1350" s="74" t="s">
        <v>1268</v>
      </c>
    </row>
    <row r="1351" spans="1:7" x14ac:dyDescent="0.2">
      <c r="A1351" s="40">
        <v>5621</v>
      </c>
      <c r="B1351" s="39" t="s">
        <v>2393</v>
      </c>
      <c r="C1351" s="40" t="s">
        <v>669</v>
      </c>
      <c r="D1351" s="74" t="s">
        <v>1269</v>
      </c>
      <c r="E1351" s="74" t="s">
        <v>1266</v>
      </c>
      <c r="F1351" s="74" t="s">
        <v>1268</v>
      </c>
      <c r="G1351" s="74" t="s">
        <v>1267</v>
      </c>
    </row>
    <row r="1352" spans="1:7" x14ac:dyDescent="0.2">
      <c r="A1352" s="40">
        <v>5622</v>
      </c>
      <c r="B1352" s="39" t="s">
        <v>2394</v>
      </c>
      <c r="C1352" s="40" t="s">
        <v>669</v>
      </c>
      <c r="D1352" s="74" t="s">
        <v>1269</v>
      </c>
      <c r="E1352" s="74" t="s">
        <v>1266</v>
      </c>
      <c r="F1352" s="74" t="s">
        <v>1268</v>
      </c>
      <c r="G1352" s="74" t="s">
        <v>1267</v>
      </c>
    </row>
    <row r="1353" spans="1:7" x14ac:dyDescent="0.2">
      <c r="A1353" s="40">
        <v>5623</v>
      </c>
      <c r="B1353" s="39" t="s">
        <v>2392</v>
      </c>
      <c r="C1353" s="40" t="s">
        <v>669</v>
      </c>
      <c r="D1353" s="74" t="s">
        <v>1265</v>
      </c>
      <c r="E1353" s="74" t="s">
        <v>1266</v>
      </c>
      <c r="F1353" s="74" t="s">
        <v>1267</v>
      </c>
      <c r="G1353" s="74" t="s">
        <v>1268</v>
      </c>
    </row>
    <row r="1354" spans="1:7" x14ac:dyDescent="0.2">
      <c r="A1354" s="40">
        <v>5630</v>
      </c>
      <c r="B1354" s="39" t="s">
        <v>2395</v>
      </c>
      <c r="C1354" s="40" t="s">
        <v>669</v>
      </c>
      <c r="D1354" s="74" t="s">
        <v>1269</v>
      </c>
      <c r="E1354" s="74" t="s">
        <v>1266</v>
      </c>
      <c r="F1354" s="74" t="s">
        <v>1268</v>
      </c>
      <c r="G1354" s="74" t="s">
        <v>1268</v>
      </c>
    </row>
    <row r="1355" spans="1:7" x14ac:dyDescent="0.2">
      <c r="A1355" s="40">
        <v>5632</v>
      </c>
      <c r="B1355" s="39" t="s">
        <v>2396</v>
      </c>
      <c r="C1355" s="40" t="s">
        <v>669</v>
      </c>
      <c r="D1355" s="74" t="s">
        <v>1269</v>
      </c>
      <c r="E1355" s="74" t="s">
        <v>1266</v>
      </c>
      <c r="F1355" s="74" t="s">
        <v>1268</v>
      </c>
      <c r="G1355" s="74" t="s">
        <v>1267</v>
      </c>
    </row>
    <row r="1356" spans="1:7" x14ac:dyDescent="0.2">
      <c r="A1356" s="40">
        <v>5640</v>
      </c>
      <c r="B1356" s="39" t="s">
        <v>2397</v>
      </c>
      <c r="C1356" s="40" t="s">
        <v>669</v>
      </c>
      <c r="D1356" s="74" t="s">
        <v>1269</v>
      </c>
      <c r="E1356" s="74" t="s">
        <v>1266</v>
      </c>
      <c r="F1356" s="74" t="s">
        <v>1268</v>
      </c>
      <c r="G1356" s="74" t="s">
        <v>1268</v>
      </c>
    </row>
    <row r="1357" spans="1:7" x14ac:dyDescent="0.2">
      <c r="A1357" s="40">
        <v>5645</v>
      </c>
      <c r="B1357" s="39" t="s">
        <v>2398</v>
      </c>
      <c r="C1357" s="40" t="s">
        <v>669</v>
      </c>
      <c r="D1357" s="74" t="s">
        <v>1269</v>
      </c>
      <c r="E1357" s="74" t="s">
        <v>1266</v>
      </c>
      <c r="F1357" s="74" t="s">
        <v>1268</v>
      </c>
      <c r="G1357" s="74" t="s">
        <v>1267</v>
      </c>
    </row>
    <row r="1358" spans="1:7" x14ac:dyDescent="0.2">
      <c r="A1358" s="40">
        <v>5651</v>
      </c>
      <c r="B1358" s="39" t="s">
        <v>2399</v>
      </c>
      <c r="C1358" s="40" t="s">
        <v>669</v>
      </c>
      <c r="D1358" s="74" t="s">
        <v>1269</v>
      </c>
      <c r="E1358" s="74" t="s">
        <v>1266</v>
      </c>
      <c r="F1358" s="74" t="s">
        <v>1268</v>
      </c>
      <c r="G1358" s="74" t="s">
        <v>1267</v>
      </c>
    </row>
    <row r="1359" spans="1:7" x14ac:dyDescent="0.2">
      <c r="A1359" s="40">
        <v>5652</v>
      </c>
      <c r="B1359" s="39" t="s">
        <v>2400</v>
      </c>
      <c r="C1359" s="40" t="s">
        <v>669</v>
      </c>
      <c r="D1359" s="74" t="s">
        <v>1269</v>
      </c>
      <c r="E1359" s="74" t="s">
        <v>1266</v>
      </c>
      <c r="F1359" s="74" t="s">
        <v>1268</v>
      </c>
      <c r="G1359" s="74" t="s">
        <v>1267</v>
      </c>
    </row>
    <row r="1360" spans="1:7" x14ac:dyDescent="0.2">
      <c r="A1360" s="40">
        <v>5660</v>
      </c>
      <c r="B1360" s="39" t="s">
        <v>2401</v>
      </c>
      <c r="C1360" s="40" t="s">
        <v>669</v>
      </c>
      <c r="D1360" s="74" t="s">
        <v>1269</v>
      </c>
      <c r="E1360" s="74" t="s">
        <v>1266</v>
      </c>
      <c r="F1360" s="74" t="s">
        <v>1268</v>
      </c>
      <c r="G1360" s="74" t="s">
        <v>1268</v>
      </c>
    </row>
    <row r="1361" spans="1:7" x14ac:dyDescent="0.2">
      <c r="A1361" s="40">
        <v>5661</v>
      </c>
      <c r="B1361" s="39" t="s">
        <v>252</v>
      </c>
      <c r="C1361" s="40" t="s">
        <v>669</v>
      </c>
      <c r="D1361" s="74" t="s">
        <v>1269</v>
      </c>
      <c r="E1361" s="74" t="s">
        <v>1266</v>
      </c>
      <c r="F1361" s="74" t="s">
        <v>1268</v>
      </c>
      <c r="G1361" s="74" t="s">
        <v>1268</v>
      </c>
    </row>
    <row r="1362" spans="1:7" x14ac:dyDescent="0.2">
      <c r="A1362" s="40">
        <v>5662</v>
      </c>
      <c r="B1362" s="39" t="s">
        <v>2402</v>
      </c>
      <c r="C1362" s="40" t="s">
        <v>669</v>
      </c>
      <c r="D1362" s="74" t="s">
        <v>1269</v>
      </c>
      <c r="E1362" s="74" t="s">
        <v>1266</v>
      </c>
      <c r="F1362" s="74" t="s">
        <v>1268</v>
      </c>
      <c r="G1362" s="74" t="s">
        <v>1267</v>
      </c>
    </row>
    <row r="1363" spans="1:7" x14ac:dyDescent="0.2">
      <c r="A1363" s="40">
        <v>5671</v>
      </c>
      <c r="B1363" s="39" t="s">
        <v>2403</v>
      </c>
      <c r="C1363" s="40" t="s">
        <v>669</v>
      </c>
      <c r="D1363" s="74" t="s">
        <v>1269</v>
      </c>
      <c r="E1363" s="74" t="s">
        <v>1266</v>
      </c>
      <c r="F1363" s="74" t="s">
        <v>1268</v>
      </c>
      <c r="G1363" s="74" t="s">
        <v>1268</v>
      </c>
    </row>
    <row r="1364" spans="1:7" x14ac:dyDescent="0.2">
      <c r="A1364" s="40">
        <v>5672</v>
      </c>
      <c r="B1364" s="39" t="s">
        <v>2404</v>
      </c>
      <c r="C1364" s="40" t="s">
        <v>669</v>
      </c>
      <c r="D1364" s="74" t="s">
        <v>1269</v>
      </c>
      <c r="E1364" s="74" t="s">
        <v>1266</v>
      </c>
      <c r="F1364" s="74" t="s">
        <v>1268</v>
      </c>
      <c r="G1364" s="74" t="s">
        <v>1267</v>
      </c>
    </row>
    <row r="1365" spans="1:7" x14ac:dyDescent="0.2">
      <c r="A1365" s="40">
        <v>5700</v>
      </c>
      <c r="B1365" s="39" t="s">
        <v>1252</v>
      </c>
      <c r="C1365" s="40" t="s">
        <v>669</v>
      </c>
      <c r="D1365" s="74" t="s">
        <v>1269</v>
      </c>
      <c r="E1365" s="74" t="s">
        <v>1266</v>
      </c>
      <c r="F1365" s="74" t="s">
        <v>1268</v>
      </c>
      <c r="G1365" s="74" t="s">
        <v>1268</v>
      </c>
    </row>
    <row r="1366" spans="1:7" x14ac:dyDescent="0.2">
      <c r="A1366" s="40">
        <v>5702</v>
      </c>
      <c r="B1366" s="39" t="s">
        <v>2405</v>
      </c>
      <c r="C1366" s="40" t="s">
        <v>669</v>
      </c>
      <c r="D1366" s="74" t="s">
        <v>1271</v>
      </c>
      <c r="E1366" s="74" t="s">
        <v>1266</v>
      </c>
      <c r="F1366" s="74" t="s">
        <v>1267</v>
      </c>
      <c r="G1366" s="74" t="s">
        <v>1268</v>
      </c>
    </row>
    <row r="1367" spans="1:7" x14ac:dyDescent="0.2">
      <c r="A1367" s="40">
        <v>5710</v>
      </c>
      <c r="B1367" s="39" t="s">
        <v>2406</v>
      </c>
      <c r="C1367" s="40" t="s">
        <v>669</v>
      </c>
      <c r="D1367" s="74" t="s">
        <v>1269</v>
      </c>
      <c r="E1367" s="74" t="s">
        <v>1266</v>
      </c>
      <c r="F1367" s="74" t="s">
        <v>1268</v>
      </c>
      <c r="G1367" s="74" t="s">
        <v>1268</v>
      </c>
    </row>
    <row r="1368" spans="1:7" x14ac:dyDescent="0.2">
      <c r="A1368" s="40">
        <v>5721</v>
      </c>
      <c r="B1368" s="39" t="s">
        <v>2407</v>
      </c>
      <c r="C1368" s="40" t="s">
        <v>669</v>
      </c>
      <c r="D1368" s="74" t="s">
        <v>1269</v>
      </c>
      <c r="E1368" s="74" t="s">
        <v>1266</v>
      </c>
      <c r="F1368" s="74" t="s">
        <v>1268</v>
      </c>
      <c r="G1368" s="74" t="s">
        <v>1268</v>
      </c>
    </row>
    <row r="1369" spans="1:7" x14ac:dyDescent="0.2">
      <c r="A1369" s="40">
        <v>5722</v>
      </c>
      <c r="B1369" s="39" t="s">
        <v>2408</v>
      </c>
      <c r="C1369" s="40" t="s">
        <v>669</v>
      </c>
      <c r="D1369" s="74" t="s">
        <v>1269</v>
      </c>
      <c r="E1369" s="74" t="s">
        <v>1266</v>
      </c>
      <c r="F1369" s="74" t="s">
        <v>1268</v>
      </c>
      <c r="G1369" s="74" t="s">
        <v>1267</v>
      </c>
    </row>
    <row r="1370" spans="1:7" x14ac:dyDescent="0.2">
      <c r="A1370" s="40">
        <v>5723</v>
      </c>
      <c r="B1370" s="39" t="s">
        <v>2112</v>
      </c>
      <c r="C1370" s="40" t="s">
        <v>669</v>
      </c>
      <c r="D1370" s="74" t="s">
        <v>1269</v>
      </c>
      <c r="E1370" s="74" t="s">
        <v>1266</v>
      </c>
      <c r="F1370" s="74" t="s">
        <v>1268</v>
      </c>
      <c r="G1370" s="74" t="s">
        <v>1268</v>
      </c>
    </row>
    <row r="1371" spans="1:7" x14ac:dyDescent="0.2">
      <c r="A1371" s="40">
        <v>5724</v>
      </c>
      <c r="B1371" s="39" t="s">
        <v>2409</v>
      </c>
      <c r="C1371" s="40" t="s">
        <v>669</v>
      </c>
      <c r="D1371" s="74" t="s">
        <v>1269</v>
      </c>
      <c r="E1371" s="74" t="s">
        <v>1266</v>
      </c>
      <c r="F1371" s="74" t="s">
        <v>1268</v>
      </c>
      <c r="G1371" s="74" t="s">
        <v>1267</v>
      </c>
    </row>
    <row r="1372" spans="1:7" x14ac:dyDescent="0.2">
      <c r="A1372" s="40">
        <v>5730</v>
      </c>
      <c r="B1372" s="39" t="s">
        <v>2410</v>
      </c>
      <c r="C1372" s="40" t="s">
        <v>669</v>
      </c>
      <c r="D1372" s="74" t="s">
        <v>1269</v>
      </c>
      <c r="E1372" s="74" t="s">
        <v>1266</v>
      </c>
      <c r="F1372" s="74" t="s">
        <v>1268</v>
      </c>
      <c r="G1372" s="74" t="s">
        <v>1268</v>
      </c>
    </row>
    <row r="1373" spans="1:7" x14ac:dyDescent="0.2">
      <c r="A1373" s="40">
        <v>5731</v>
      </c>
      <c r="B1373" s="39" t="s">
        <v>2411</v>
      </c>
      <c r="C1373" s="40" t="s">
        <v>669</v>
      </c>
      <c r="D1373" s="74" t="s">
        <v>1269</v>
      </c>
      <c r="E1373" s="74" t="s">
        <v>1266</v>
      </c>
      <c r="F1373" s="74" t="s">
        <v>1268</v>
      </c>
      <c r="G1373" s="74" t="s">
        <v>1267</v>
      </c>
    </row>
    <row r="1374" spans="1:7" x14ac:dyDescent="0.2">
      <c r="A1374" s="40">
        <v>5732</v>
      </c>
      <c r="B1374" s="39" t="s">
        <v>2412</v>
      </c>
      <c r="C1374" s="40" t="s">
        <v>669</v>
      </c>
      <c r="D1374" s="74" t="s">
        <v>1269</v>
      </c>
      <c r="E1374" s="74" t="s">
        <v>1266</v>
      </c>
      <c r="F1374" s="74" t="s">
        <v>1268</v>
      </c>
      <c r="G1374" s="74" t="s">
        <v>1267</v>
      </c>
    </row>
    <row r="1375" spans="1:7" x14ac:dyDescent="0.2">
      <c r="A1375" s="40">
        <v>5733</v>
      </c>
      <c r="B1375" s="39" t="s">
        <v>2413</v>
      </c>
      <c r="C1375" s="40" t="s">
        <v>669</v>
      </c>
      <c r="D1375" s="74" t="s">
        <v>1269</v>
      </c>
      <c r="E1375" s="74" t="s">
        <v>1266</v>
      </c>
      <c r="F1375" s="74" t="s">
        <v>1268</v>
      </c>
      <c r="G1375" s="74" t="s">
        <v>1268</v>
      </c>
    </row>
    <row r="1376" spans="1:7" x14ac:dyDescent="0.2">
      <c r="A1376" s="40">
        <v>5741</v>
      </c>
      <c r="B1376" s="39" t="s">
        <v>861</v>
      </c>
      <c r="C1376" s="40" t="s">
        <v>669</v>
      </c>
      <c r="D1376" s="74" t="s">
        <v>1269</v>
      </c>
      <c r="E1376" s="74" t="s">
        <v>1266</v>
      </c>
      <c r="F1376" s="74" t="s">
        <v>1268</v>
      </c>
      <c r="G1376" s="74" t="s">
        <v>1268</v>
      </c>
    </row>
    <row r="1377" spans="1:7" x14ac:dyDescent="0.2">
      <c r="A1377" s="40">
        <v>5742</v>
      </c>
      <c r="B1377" s="39" t="s">
        <v>862</v>
      </c>
      <c r="C1377" s="40" t="s">
        <v>669</v>
      </c>
      <c r="D1377" s="74" t="s">
        <v>1269</v>
      </c>
      <c r="E1377" s="74" t="s">
        <v>1266</v>
      </c>
      <c r="F1377" s="74" t="s">
        <v>1268</v>
      </c>
      <c r="G1377" s="74" t="s">
        <v>1268</v>
      </c>
    </row>
    <row r="1378" spans="1:7" x14ac:dyDescent="0.2">
      <c r="A1378" s="40">
        <v>5743</v>
      </c>
      <c r="B1378" s="39" t="s">
        <v>863</v>
      </c>
      <c r="C1378" s="40" t="s">
        <v>669</v>
      </c>
      <c r="D1378" s="74" t="s">
        <v>1269</v>
      </c>
      <c r="E1378" s="74" t="s">
        <v>1266</v>
      </c>
      <c r="F1378" s="74" t="s">
        <v>1268</v>
      </c>
      <c r="G1378" s="74" t="s">
        <v>1268</v>
      </c>
    </row>
    <row r="1379" spans="1:7" x14ac:dyDescent="0.2">
      <c r="A1379" s="40">
        <v>5751</v>
      </c>
      <c r="B1379" s="39" t="s">
        <v>864</v>
      </c>
      <c r="C1379" s="40" t="s">
        <v>669</v>
      </c>
      <c r="D1379" s="74" t="s">
        <v>1269</v>
      </c>
      <c r="E1379" s="74" t="s">
        <v>1266</v>
      </c>
      <c r="F1379" s="74" t="s">
        <v>1268</v>
      </c>
      <c r="G1379" s="74" t="s">
        <v>1268</v>
      </c>
    </row>
    <row r="1380" spans="1:7" x14ac:dyDescent="0.2">
      <c r="A1380" s="40">
        <v>5752</v>
      </c>
      <c r="B1380" s="39" t="s">
        <v>865</v>
      </c>
      <c r="C1380" s="40" t="s">
        <v>669</v>
      </c>
      <c r="D1380" s="74" t="s">
        <v>1269</v>
      </c>
      <c r="E1380" s="74" t="s">
        <v>1266</v>
      </c>
      <c r="F1380" s="74" t="s">
        <v>1268</v>
      </c>
      <c r="G1380" s="74" t="s">
        <v>1267</v>
      </c>
    </row>
    <row r="1381" spans="1:7" x14ac:dyDescent="0.2">
      <c r="A1381" s="40">
        <v>5753</v>
      </c>
      <c r="B1381" s="39" t="s">
        <v>866</v>
      </c>
      <c r="C1381" s="40" t="s">
        <v>669</v>
      </c>
      <c r="D1381" s="74" t="s">
        <v>1269</v>
      </c>
      <c r="E1381" s="74" t="s">
        <v>1266</v>
      </c>
      <c r="F1381" s="74" t="s">
        <v>1268</v>
      </c>
      <c r="G1381" s="74" t="s">
        <v>1268</v>
      </c>
    </row>
    <row r="1382" spans="1:7" x14ac:dyDescent="0.2">
      <c r="A1382" s="40">
        <v>5754</v>
      </c>
      <c r="B1382" s="39" t="s">
        <v>867</v>
      </c>
      <c r="C1382" s="40" t="s">
        <v>669</v>
      </c>
      <c r="D1382" s="74" t="s">
        <v>1269</v>
      </c>
      <c r="E1382" s="74" t="s">
        <v>1266</v>
      </c>
      <c r="F1382" s="74" t="s">
        <v>1268</v>
      </c>
      <c r="G1382" s="74" t="s">
        <v>1268</v>
      </c>
    </row>
    <row r="1383" spans="1:7" x14ac:dyDescent="0.2">
      <c r="A1383" s="40">
        <v>5760</v>
      </c>
      <c r="B1383" s="39" t="s">
        <v>868</v>
      </c>
      <c r="C1383" s="40" t="s">
        <v>669</v>
      </c>
      <c r="D1383" s="74" t="s">
        <v>1269</v>
      </c>
      <c r="E1383" s="74" t="s">
        <v>1266</v>
      </c>
      <c r="F1383" s="74" t="s">
        <v>1268</v>
      </c>
      <c r="G1383" s="74" t="s">
        <v>1268</v>
      </c>
    </row>
    <row r="1384" spans="1:7" x14ac:dyDescent="0.2">
      <c r="A1384" s="40">
        <v>5761</v>
      </c>
      <c r="B1384" s="39" t="s">
        <v>869</v>
      </c>
      <c r="C1384" s="40" t="s">
        <v>669</v>
      </c>
      <c r="D1384" s="74" t="s">
        <v>1269</v>
      </c>
      <c r="E1384" s="74" t="s">
        <v>1266</v>
      </c>
      <c r="F1384" s="74" t="s">
        <v>1268</v>
      </c>
      <c r="G1384" s="74" t="s">
        <v>1268</v>
      </c>
    </row>
    <row r="1385" spans="1:7" x14ac:dyDescent="0.2">
      <c r="A1385" s="40">
        <v>5771</v>
      </c>
      <c r="B1385" s="39" t="s">
        <v>870</v>
      </c>
      <c r="C1385" s="40" t="s">
        <v>669</v>
      </c>
      <c r="D1385" s="74" t="s">
        <v>1269</v>
      </c>
      <c r="E1385" s="74" t="s">
        <v>1266</v>
      </c>
      <c r="F1385" s="74" t="s">
        <v>1268</v>
      </c>
      <c r="G1385" s="74" t="s">
        <v>1268</v>
      </c>
    </row>
    <row r="1386" spans="1:7" x14ac:dyDescent="0.2">
      <c r="A1386" s="40">
        <v>6010</v>
      </c>
      <c r="B1386" s="39" t="s">
        <v>189</v>
      </c>
      <c r="C1386" s="40" t="s">
        <v>871</v>
      </c>
      <c r="D1386" s="74" t="s">
        <v>1271</v>
      </c>
      <c r="E1386" s="74" t="s">
        <v>1266</v>
      </c>
      <c r="F1386" s="74" t="s">
        <v>1267</v>
      </c>
      <c r="G1386" s="74" t="s">
        <v>1268</v>
      </c>
    </row>
    <row r="1387" spans="1:7" x14ac:dyDescent="0.2">
      <c r="A1387" s="40">
        <v>6012</v>
      </c>
      <c r="B1387" s="39" t="s">
        <v>189</v>
      </c>
      <c r="C1387" s="40" t="s">
        <v>871</v>
      </c>
      <c r="D1387" s="74" t="s">
        <v>1271</v>
      </c>
      <c r="E1387" s="74" t="s">
        <v>1266</v>
      </c>
      <c r="F1387" s="74" t="s">
        <v>1267</v>
      </c>
      <c r="G1387" s="74" t="s">
        <v>1268</v>
      </c>
    </row>
    <row r="1388" spans="1:7" x14ac:dyDescent="0.2">
      <c r="A1388" s="40">
        <v>6013</v>
      </c>
      <c r="B1388" s="39" t="s">
        <v>189</v>
      </c>
      <c r="C1388" s="40" t="s">
        <v>871</v>
      </c>
      <c r="D1388" s="74" t="s">
        <v>1271</v>
      </c>
      <c r="E1388" s="74" t="s">
        <v>1266</v>
      </c>
      <c r="F1388" s="74" t="s">
        <v>1267</v>
      </c>
      <c r="G1388" s="74" t="s">
        <v>1268</v>
      </c>
    </row>
    <row r="1389" spans="1:7" x14ac:dyDescent="0.2">
      <c r="A1389" s="40">
        <v>6014</v>
      </c>
      <c r="B1389" s="39" t="s">
        <v>189</v>
      </c>
      <c r="C1389" s="40" t="s">
        <v>871</v>
      </c>
      <c r="D1389" s="74" t="s">
        <v>1271</v>
      </c>
      <c r="E1389" s="74" t="s">
        <v>1266</v>
      </c>
      <c r="F1389" s="74" t="s">
        <v>1267</v>
      </c>
      <c r="G1389" s="74" t="s">
        <v>1268</v>
      </c>
    </row>
    <row r="1390" spans="1:7" x14ac:dyDescent="0.2">
      <c r="A1390" s="40">
        <v>6020</v>
      </c>
      <c r="B1390" s="39" t="s">
        <v>189</v>
      </c>
      <c r="C1390" s="40" t="s">
        <v>871</v>
      </c>
      <c r="D1390" s="74" t="s">
        <v>1269</v>
      </c>
      <c r="E1390" s="74" t="s">
        <v>1266</v>
      </c>
      <c r="F1390" s="74" t="s">
        <v>1268</v>
      </c>
      <c r="G1390" s="74" t="s">
        <v>1267</v>
      </c>
    </row>
    <row r="1391" spans="1:7" x14ac:dyDescent="0.2">
      <c r="A1391" s="40">
        <v>6021</v>
      </c>
      <c r="B1391" s="39" t="s">
        <v>872</v>
      </c>
      <c r="C1391" s="40" t="s">
        <v>871</v>
      </c>
      <c r="D1391" s="74" t="s">
        <v>1271</v>
      </c>
      <c r="E1391" s="74" t="s">
        <v>1266</v>
      </c>
      <c r="F1391" s="74" t="s">
        <v>1267</v>
      </c>
      <c r="G1391" s="74" t="s">
        <v>1268</v>
      </c>
    </row>
    <row r="1392" spans="1:7" x14ac:dyDescent="0.2">
      <c r="A1392" s="40">
        <v>6022</v>
      </c>
      <c r="B1392" s="39" t="s">
        <v>189</v>
      </c>
      <c r="C1392" s="40" t="s">
        <v>871</v>
      </c>
      <c r="D1392" s="74" t="s">
        <v>1271</v>
      </c>
      <c r="E1392" s="74" t="s">
        <v>1266</v>
      </c>
      <c r="F1392" s="74" t="s">
        <v>1267</v>
      </c>
      <c r="G1392" s="74" t="s">
        <v>1268</v>
      </c>
    </row>
    <row r="1393" spans="1:7" x14ac:dyDescent="0.2">
      <c r="A1393" s="40">
        <v>6023</v>
      </c>
      <c r="B1393" s="39" t="s">
        <v>189</v>
      </c>
      <c r="C1393" s="40" t="s">
        <v>871</v>
      </c>
      <c r="D1393" s="74" t="s">
        <v>1271</v>
      </c>
      <c r="E1393" s="74" t="s">
        <v>1266</v>
      </c>
      <c r="F1393" s="74" t="s">
        <v>1267</v>
      </c>
      <c r="G1393" s="74" t="s">
        <v>1268</v>
      </c>
    </row>
    <row r="1394" spans="1:7" x14ac:dyDescent="0.2">
      <c r="A1394" s="40">
        <v>6026</v>
      </c>
      <c r="B1394" s="39" t="s">
        <v>189</v>
      </c>
      <c r="C1394" s="40" t="s">
        <v>871</v>
      </c>
      <c r="D1394" s="74" t="s">
        <v>1271</v>
      </c>
      <c r="E1394" s="74" t="s">
        <v>1266</v>
      </c>
      <c r="F1394" s="74" t="s">
        <v>1267</v>
      </c>
      <c r="G1394" s="74" t="s">
        <v>1268</v>
      </c>
    </row>
    <row r="1395" spans="1:7" x14ac:dyDescent="0.2">
      <c r="A1395" s="40">
        <v>6027</v>
      </c>
      <c r="B1395" s="39" t="s">
        <v>189</v>
      </c>
      <c r="C1395" s="40" t="s">
        <v>871</v>
      </c>
      <c r="D1395" s="74" t="s">
        <v>1271</v>
      </c>
      <c r="E1395" s="74" t="s">
        <v>1266</v>
      </c>
      <c r="F1395" s="74" t="s">
        <v>1267</v>
      </c>
      <c r="G1395" s="74" t="s">
        <v>1268</v>
      </c>
    </row>
    <row r="1396" spans="1:7" x14ac:dyDescent="0.2">
      <c r="A1396" s="40">
        <v>6029</v>
      </c>
      <c r="B1396" s="39" t="s">
        <v>189</v>
      </c>
      <c r="C1396" s="40" t="s">
        <v>871</v>
      </c>
      <c r="D1396" s="74" t="s">
        <v>1271</v>
      </c>
      <c r="E1396" s="74" t="s">
        <v>1266</v>
      </c>
      <c r="F1396" s="74" t="s">
        <v>1267</v>
      </c>
      <c r="G1396" s="74" t="s">
        <v>1268</v>
      </c>
    </row>
    <row r="1397" spans="1:7" x14ac:dyDescent="0.2">
      <c r="A1397" s="40">
        <v>6033</v>
      </c>
      <c r="B1397" s="39" t="s">
        <v>873</v>
      </c>
      <c r="C1397" s="40" t="s">
        <v>871</v>
      </c>
      <c r="D1397" s="74" t="s">
        <v>1271</v>
      </c>
      <c r="E1397" s="74" t="s">
        <v>1266</v>
      </c>
      <c r="F1397" s="74" t="s">
        <v>1267</v>
      </c>
      <c r="G1397" s="74" t="s">
        <v>1268</v>
      </c>
    </row>
    <row r="1398" spans="1:7" x14ac:dyDescent="0.2">
      <c r="A1398" s="40">
        <v>6040</v>
      </c>
      <c r="B1398" s="39" t="s">
        <v>874</v>
      </c>
      <c r="C1398" s="40" t="s">
        <v>871</v>
      </c>
      <c r="D1398" s="74" t="s">
        <v>1271</v>
      </c>
      <c r="E1398" s="74" t="s">
        <v>1266</v>
      </c>
      <c r="F1398" s="74" t="s">
        <v>1267</v>
      </c>
      <c r="G1398" s="74" t="s">
        <v>1268</v>
      </c>
    </row>
    <row r="1399" spans="1:7" x14ac:dyDescent="0.2">
      <c r="A1399" s="40">
        <v>6050</v>
      </c>
      <c r="B1399" s="39" t="s">
        <v>875</v>
      </c>
      <c r="C1399" s="40" t="s">
        <v>871</v>
      </c>
      <c r="D1399" s="74" t="s">
        <v>1271</v>
      </c>
      <c r="E1399" s="74" t="s">
        <v>1266</v>
      </c>
      <c r="F1399" s="74" t="s">
        <v>1267</v>
      </c>
      <c r="G1399" s="74" t="s">
        <v>1268</v>
      </c>
    </row>
    <row r="1400" spans="1:7" x14ac:dyDescent="0.2">
      <c r="A1400" s="40">
        <v>6060</v>
      </c>
      <c r="B1400" s="39" t="s">
        <v>875</v>
      </c>
      <c r="C1400" s="40" t="s">
        <v>871</v>
      </c>
      <c r="D1400" s="74" t="s">
        <v>1269</v>
      </c>
      <c r="E1400" s="74" t="s">
        <v>1266</v>
      </c>
      <c r="F1400" s="74" t="s">
        <v>1268</v>
      </c>
      <c r="G1400" s="74" t="s">
        <v>1268</v>
      </c>
    </row>
    <row r="1401" spans="1:7" x14ac:dyDescent="0.2">
      <c r="A1401" s="40">
        <v>6063</v>
      </c>
      <c r="B1401" s="39" t="s">
        <v>876</v>
      </c>
      <c r="C1401" s="40" t="s">
        <v>871</v>
      </c>
      <c r="D1401" s="74" t="s">
        <v>1269</v>
      </c>
      <c r="E1401" s="74" t="s">
        <v>1266</v>
      </c>
      <c r="F1401" s="74" t="s">
        <v>1268</v>
      </c>
      <c r="G1401" s="74" t="s">
        <v>1268</v>
      </c>
    </row>
    <row r="1402" spans="1:7" x14ac:dyDescent="0.2">
      <c r="A1402" s="40">
        <v>6064</v>
      </c>
      <c r="B1402" s="39" t="s">
        <v>876</v>
      </c>
      <c r="C1402" s="40" t="s">
        <v>871</v>
      </c>
      <c r="D1402" s="74" t="s">
        <v>1271</v>
      </c>
      <c r="E1402" s="74" t="s">
        <v>1266</v>
      </c>
      <c r="F1402" s="74" t="s">
        <v>1267</v>
      </c>
      <c r="G1402" s="74" t="s">
        <v>1268</v>
      </c>
    </row>
    <row r="1403" spans="1:7" x14ac:dyDescent="0.2">
      <c r="A1403" s="40">
        <v>6065</v>
      </c>
      <c r="B1403" s="39" t="s">
        <v>877</v>
      </c>
      <c r="C1403" s="40" t="s">
        <v>871</v>
      </c>
      <c r="D1403" s="74" t="s">
        <v>1269</v>
      </c>
      <c r="E1403" s="74" t="s">
        <v>1266</v>
      </c>
      <c r="F1403" s="74" t="s">
        <v>1268</v>
      </c>
      <c r="G1403" s="74" t="s">
        <v>1267</v>
      </c>
    </row>
    <row r="1404" spans="1:7" x14ac:dyDescent="0.2">
      <c r="A1404" s="40">
        <v>6067</v>
      </c>
      <c r="B1404" s="39" t="s">
        <v>878</v>
      </c>
      <c r="C1404" s="40" t="s">
        <v>871</v>
      </c>
      <c r="D1404" s="74" t="s">
        <v>1269</v>
      </c>
      <c r="E1404" s="74" t="s">
        <v>1266</v>
      </c>
      <c r="F1404" s="74" t="s">
        <v>1268</v>
      </c>
      <c r="G1404" s="74" t="s">
        <v>1268</v>
      </c>
    </row>
    <row r="1405" spans="1:7" x14ac:dyDescent="0.2">
      <c r="A1405" s="40">
        <v>6068</v>
      </c>
      <c r="B1405" s="39" t="s">
        <v>879</v>
      </c>
      <c r="C1405" s="40" t="s">
        <v>871</v>
      </c>
      <c r="D1405" s="74" t="s">
        <v>1269</v>
      </c>
      <c r="E1405" s="74" t="s">
        <v>1266</v>
      </c>
      <c r="F1405" s="74" t="s">
        <v>1268</v>
      </c>
      <c r="G1405" s="74" t="s">
        <v>1268</v>
      </c>
    </row>
    <row r="1406" spans="1:7" x14ac:dyDescent="0.2">
      <c r="A1406" s="40">
        <v>6069</v>
      </c>
      <c r="B1406" s="39" t="s">
        <v>880</v>
      </c>
      <c r="C1406" s="40" t="s">
        <v>871</v>
      </c>
      <c r="D1406" s="74" t="s">
        <v>1269</v>
      </c>
      <c r="E1406" s="74" t="s">
        <v>1266</v>
      </c>
      <c r="F1406" s="74" t="s">
        <v>1268</v>
      </c>
      <c r="G1406" s="74" t="s">
        <v>1267</v>
      </c>
    </row>
    <row r="1407" spans="1:7" x14ac:dyDescent="0.2">
      <c r="A1407" s="40">
        <v>6070</v>
      </c>
      <c r="B1407" s="39" t="s">
        <v>881</v>
      </c>
      <c r="C1407" s="40" t="s">
        <v>871</v>
      </c>
      <c r="D1407" s="74" t="s">
        <v>1269</v>
      </c>
      <c r="E1407" s="74" t="s">
        <v>1266</v>
      </c>
      <c r="F1407" s="74" t="s">
        <v>1268</v>
      </c>
      <c r="G1407" s="74" t="s">
        <v>1267</v>
      </c>
    </row>
    <row r="1408" spans="1:7" x14ac:dyDescent="0.2">
      <c r="A1408" s="40">
        <v>6071</v>
      </c>
      <c r="B1408" s="39" t="s">
        <v>882</v>
      </c>
      <c r="C1408" s="40" t="s">
        <v>871</v>
      </c>
      <c r="D1408" s="74" t="s">
        <v>1269</v>
      </c>
      <c r="E1408" s="74" t="s">
        <v>1266</v>
      </c>
      <c r="F1408" s="74" t="s">
        <v>1268</v>
      </c>
      <c r="G1408" s="74" t="s">
        <v>1268</v>
      </c>
    </row>
    <row r="1409" spans="1:7" x14ac:dyDescent="0.2">
      <c r="A1409" s="40">
        <v>6072</v>
      </c>
      <c r="B1409" s="39" t="s">
        <v>883</v>
      </c>
      <c r="C1409" s="40" t="s">
        <v>871</v>
      </c>
      <c r="D1409" s="74" t="s">
        <v>1269</v>
      </c>
      <c r="E1409" s="74" t="s">
        <v>1266</v>
      </c>
      <c r="F1409" s="74" t="s">
        <v>1268</v>
      </c>
      <c r="G1409" s="74" t="s">
        <v>1267</v>
      </c>
    </row>
    <row r="1410" spans="1:7" x14ac:dyDescent="0.2">
      <c r="A1410" s="40">
        <v>6073</v>
      </c>
      <c r="B1410" s="39" t="s">
        <v>884</v>
      </c>
      <c r="C1410" s="40" t="s">
        <v>871</v>
      </c>
      <c r="D1410" s="74" t="s">
        <v>1269</v>
      </c>
      <c r="E1410" s="74" t="s">
        <v>1266</v>
      </c>
      <c r="F1410" s="74" t="s">
        <v>1268</v>
      </c>
      <c r="G1410" s="74" t="s">
        <v>1267</v>
      </c>
    </row>
    <row r="1411" spans="1:7" x14ac:dyDescent="0.2">
      <c r="A1411" s="40">
        <v>6074</v>
      </c>
      <c r="B1411" s="39" t="s">
        <v>885</v>
      </c>
      <c r="C1411" s="40" t="s">
        <v>871</v>
      </c>
      <c r="D1411" s="74" t="s">
        <v>1269</v>
      </c>
      <c r="E1411" s="74" t="s">
        <v>1266</v>
      </c>
      <c r="F1411" s="74" t="s">
        <v>1268</v>
      </c>
      <c r="G1411" s="74" t="s">
        <v>1267</v>
      </c>
    </row>
    <row r="1412" spans="1:7" x14ac:dyDescent="0.2">
      <c r="A1412" s="40">
        <v>6075</v>
      </c>
      <c r="B1412" s="39" t="s">
        <v>886</v>
      </c>
      <c r="C1412" s="40" t="s">
        <v>871</v>
      </c>
      <c r="D1412" s="74" t="s">
        <v>1269</v>
      </c>
      <c r="E1412" s="74" t="s">
        <v>1266</v>
      </c>
      <c r="F1412" s="74" t="s">
        <v>1268</v>
      </c>
      <c r="G1412" s="74" t="s">
        <v>1267</v>
      </c>
    </row>
    <row r="1413" spans="1:7" x14ac:dyDescent="0.2">
      <c r="A1413" s="40">
        <v>6080</v>
      </c>
      <c r="B1413" s="39" t="s">
        <v>2172</v>
      </c>
      <c r="C1413" s="40" t="s">
        <v>871</v>
      </c>
      <c r="D1413" s="74" t="s">
        <v>1269</v>
      </c>
      <c r="E1413" s="74" t="s">
        <v>1266</v>
      </c>
      <c r="F1413" s="74" t="s">
        <v>1268</v>
      </c>
      <c r="G1413" s="74" t="s">
        <v>1268</v>
      </c>
    </row>
    <row r="1414" spans="1:7" x14ac:dyDescent="0.2">
      <c r="A1414" s="40">
        <v>6082</v>
      </c>
      <c r="B1414" s="39" t="s">
        <v>2173</v>
      </c>
      <c r="C1414" s="40" t="s">
        <v>871</v>
      </c>
      <c r="D1414" s="74" t="s">
        <v>1269</v>
      </c>
      <c r="E1414" s="74" t="s">
        <v>1266</v>
      </c>
      <c r="F1414" s="74" t="s">
        <v>1268</v>
      </c>
      <c r="G1414" s="74" t="s">
        <v>1267</v>
      </c>
    </row>
    <row r="1415" spans="1:7" x14ac:dyDescent="0.2">
      <c r="A1415" s="40">
        <v>6083</v>
      </c>
      <c r="B1415" s="39" t="s">
        <v>2174</v>
      </c>
      <c r="C1415" s="40" t="s">
        <v>871</v>
      </c>
      <c r="D1415" s="74" t="s">
        <v>1269</v>
      </c>
      <c r="E1415" s="74" t="s">
        <v>1266</v>
      </c>
      <c r="F1415" s="74" t="s">
        <v>1268</v>
      </c>
      <c r="G1415" s="74" t="s">
        <v>1267</v>
      </c>
    </row>
    <row r="1416" spans="1:7" x14ac:dyDescent="0.2">
      <c r="A1416" s="40">
        <v>6091</v>
      </c>
      <c r="B1416" s="39" t="s">
        <v>2175</v>
      </c>
      <c r="C1416" s="40" t="s">
        <v>871</v>
      </c>
      <c r="D1416" s="74" t="s">
        <v>1269</v>
      </c>
      <c r="E1416" s="74" t="s">
        <v>1266</v>
      </c>
      <c r="F1416" s="74" t="s">
        <v>1268</v>
      </c>
      <c r="G1416" s="74" t="s">
        <v>1268</v>
      </c>
    </row>
    <row r="1417" spans="1:7" x14ac:dyDescent="0.2">
      <c r="A1417" s="40">
        <v>6092</v>
      </c>
      <c r="B1417" s="39" t="s">
        <v>2176</v>
      </c>
      <c r="C1417" s="40" t="s">
        <v>871</v>
      </c>
      <c r="D1417" s="74" t="s">
        <v>1269</v>
      </c>
      <c r="E1417" s="74" t="s">
        <v>1266</v>
      </c>
      <c r="F1417" s="74" t="s">
        <v>1268</v>
      </c>
      <c r="G1417" s="74" t="s">
        <v>1267</v>
      </c>
    </row>
    <row r="1418" spans="1:7" x14ac:dyDescent="0.2">
      <c r="A1418" s="40">
        <v>6094</v>
      </c>
      <c r="B1418" s="39" t="s">
        <v>2177</v>
      </c>
      <c r="C1418" s="40" t="s">
        <v>871</v>
      </c>
      <c r="D1418" s="74" t="s">
        <v>1269</v>
      </c>
      <c r="E1418" s="74" t="s">
        <v>1266</v>
      </c>
      <c r="F1418" s="74" t="s">
        <v>1268</v>
      </c>
      <c r="G1418" s="74" t="s">
        <v>1268</v>
      </c>
    </row>
    <row r="1419" spans="1:7" x14ac:dyDescent="0.2">
      <c r="A1419" s="40">
        <v>6095</v>
      </c>
      <c r="B1419" s="39" t="s">
        <v>2178</v>
      </c>
      <c r="C1419" s="40" t="s">
        <v>871</v>
      </c>
      <c r="D1419" s="74" t="s">
        <v>1269</v>
      </c>
      <c r="E1419" s="74" t="s">
        <v>1266</v>
      </c>
      <c r="F1419" s="74" t="s">
        <v>1268</v>
      </c>
      <c r="G1419" s="74" t="s">
        <v>1267</v>
      </c>
    </row>
    <row r="1420" spans="1:7" x14ac:dyDescent="0.2">
      <c r="A1420" s="40">
        <v>6100</v>
      </c>
      <c r="B1420" s="39" t="s">
        <v>2179</v>
      </c>
      <c r="C1420" s="40" t="s">
        <v>871</v>
      </c>
      <c r="D1420" s="74" t="s">
        <v>1269</v>
      </c>
      <c r="E1420" s="74" t="s">
        <v>1266</v>
      </c>
      <c r="F1420" s="74" t="s">
        <v>1268</v>
      </c>
      <c r="G1420" s="74" t="s">
        <v>1268</v>
      </c>
    </row>
    <row r="1421" spans="1:7" x14ac:dyDescent="0.2">
      <c r="A1421" s="40">
        <v>6103</v>
      </c>
      <c r="B1421" s="39" t="s">
        <v>2180</v>
      </c>
      <c r="C1421" s="40" t="s">
        <v>871</v>
      </c>
      <c r="D1421" s="74" t="s">
        <v>1269</v>
      </c>
      <c r="E1421" s="74" t="s">
        <v>1266</v>
      </c>
      <c r="F1421" s="74" t="s">
        <v>1268</v>
      </c>
      <c r="G1421" s="74" t="s">
        <v>1267</v>
      </c>
    </row>
    <row r="1422" spans="1:7" x14ac:dyDescent="0.2">
      <c r="A1422" s="40">
        <v>6105</v>
      </c>
      <c r="B1422" s="39" t="s">
        <v>2181</v>
      </c>
      <c r="C1422" s="40" t="s">
        <v>871</v>
      </c>
      <c r="D1422" s="74" t="s">
        <v>1269</v>
      </c>
      <c r="E1422" s="74" t="s">
        <v>1266</v>
      </c>
      <c r="F1422" s="74" t="s">
        <v>1268</v>
      </c>
      <c r="G1422" s="74" t="s">
        <v>1267</v>
      </c>
    </row>
    <row r="1423" spans="1:7" x14ac:dyDescent="0.2">
      <c r="A1423" s="40">
        <v>6108</v>
      </c>
      <c r="B1423" s="39" t="s">
        <v>2182</v>
      </c>
      <c r="C1423" s="40" t="s">
        <v>871</v>
      </c>
      <c r="D1423" s="74" t="s">
        <v>1269</v>
      </c>
      <c r="E1423" s="74" t="s">
        <v>1266</v>
      </c>
      <c r="F1423" s="74" t="s">
        <v>1268</v>
      </c>
      <c r="G1423" s="74" t="s">
        <v>1267</v>
      </c>
    </row>
    <row r="1424" spans="1:7" x14ac:dyDescent="0.2">
      <c r="A1424" s="40">
        <v>6111</v>
      </c>
      <c r="B1424" s="39" t="s">
        <v>2183</v>
      </c>
      <c r="C1424" s="40" t="s">
        <v>871</v>
      </c>
      <c r="D1424" s="74" t="s">
        <v>1269</v>
      </c>
      <c r="E1424" s="74" t="s">
        <v>1266</v>
      </c>
      <c r="F1424" s="74" t="s">
        <v>1268</v>
      </c>
      <c r="G1424" s="74" t="s">
        <v>1268</v>
      </c>
    </row>
    <row r="1425" spans="1:7" x14ac:dyDescent="0.2">
      <c r="A1425" s="40">
        <v>6112</v>
      </c>
      <c r="B1425" s="39" t="s">
        <v>2184</v>
      </c>
      <c r="C1425" s="40" t="s">
        <v>871</v>
      </c>
      <c r="D1425" s="74" t="s">
        <v>1269</v>
      </c>
      <c r="E1425" s="74" t="s">
        <v>1266</v>
      </c>
      <c r="F1425" s="74" t="s">
        <v>1268</v>
      </c>
      <c r="G1425" s="74" t="s">
        <v>1268</v>
      </c>
    </row>
    <row r="1426" spans="1:7" x14ac:dyDescent="0.2">
      <c r="A1426" s="40">
        <v>6113</v>
      </c>
      <c r="B1426" s="39" t="s">
        <v>2185</v>
      </c>
      <c r="C1426" s="40" t="s">
        <v>871</v>
      </c>
      <c r="D1426" s="74" t="s">
        <v>1269</v>
      </c>
      <c r="E1426" s="74" t="s">
        <v>1266</v>
      </c>
      <c r="F1426" s="74" t="s">
        <v>1268</v>
      </c>
      <c r="G1426" s="74" t="s">
        <v>1267</v>
      </c>
    </row>
    <row r="1427" spans="1:7" x14ac:dyDescent="0.2">
      <c r="A1427" s="40">
        <v>6114</v>
      </c>
      <c r="B1427" s="39" t="s">
        <v>2186</v>
      </c>
      <c r="C1427" s="40" t="s">
        <v>871</v>
      </c>
      <c r="D1427" s="74" t="s">
        <v>1269</v>
      </c>
      <c r="E1427" s="74" t="s">
        <v>1266</v>
      </c>
      <c r="F1427" s="74" t="s">
        <v>1268</v>
      </c>
      <c r="G1427" s="74" t="s">
        <v>1268</v>
      </c>
    </row>
    <row r="1428" spans="1:7" x14ac:dyDescent="0.2">
      <c r="A1428" s="40">
        <v>6115</v>
      </c>
      <c r="B1428" s="39" t="s">
        <v>2187</v>
      </c>
      <c r="C1428" s="40" t="s">
        <v>871</v>
      </c>
      <c r="D1428" s="74" t="s">
        <v>1269</v>
      </c>
      <c r="E1428" s="74" t="s">
        <v>1266</v>
      </c>
      <c r="F1428" s="74" t="s">
        <v>1268</v>
      </c>
      <c r="G1428" s="74" t="s">
        <v>1267</v>
      </c>
    </row>
    <row r="1429" spans="1:7" x14ac:dyDescent="0.2">
      <c r="A1429" s="40">
        <v>6121</v>
      </c>
      <c r="B1429" s="39" t="s">
        <v>2188</v>
      </c>
      <c r="C1429" s="40" t="s">
        <v>871</v>
      </c>
      <c r="D1429" s="74" t="s">
        <v>1269</v>
      </c>
      <c r="E1429" s="74" t="s">
        <v>1266</v>
      </c>
      <c r="F1429" s="74" t="s">
        <v>1268</v>
      </c>
      <c r="G1429" s="74" t="s">
        <v>1267</v>
      </c>
    </row>
    <row r="1430" spans="1:7" x14ac:dyDescent="0.2">
      <c r="A1430" s="40">
        <v>6122</v>
      </c>
      <c r="B1430" s="39" t="s">
        <v>2189</v>
      </c>
      <c r="C1430" s="40" t="s">
        <v>871</v>
      </c>
      <c r="D1430" s="74" t="s">
        <v>1269</v>
      </c>
      <c r="E1430" s="74" t="s">
        <v>1266</v>
      </c>
      <c r="F1430" s="74" t="s">
        <v>1268</v>
      </c>
      <c r="G1430" s="74" t="s">
        <v>1267</v>
      </c>
    </row>
    <row r="1431" spans="1:7" x14ac:dyDescent="0.2">
      <c r="A1431" s="40">
        <v>6123</v>
      </c>
      <c r="B1431" s="39" t="s">
        <v>2190</v>
      </c>
      <c r="C1431" s="40" t="s">
        <v>871</v>
      </c>
      <c r="D1431" s="74" t="s">
        <v>1269</v>
      </c>
      <c r="E1431" s="74" t="s">
        <v>1266</v>
      </c>
      <c r="F1431" s="74" t="s">
        <v>1268</v>
      </c>
      <c r="G1431" s="74" t="s">
        <v>1267</v>
      </c>
    </row>
    <row r="1432" spans="1:7" x14ac:dyDescent="0.2">
      <c r="A1432" s="40">
        <v>6130</v>
      </c>
      <c r="B1432" s="39" t="s">
        <v>2191</v>
      </c>
      <c r="C1432" s="40" t="s">
        <v>871</v>
      </c>
      <c r="D1432" s="74" t="s">
        <v>1269</v>
      </c>
      <c r="E1432" s="74" t="s">
        <v>1266</v>
      </c>
      <c r="F1432" s="74" t="s">
        <v>1268</v>
      </c>
      <c r="G1432" s="74" t="s">
        <v>1268</v>
      </c>
    </row>
    <row r="1433" spans="1:7" x14ac:dyDescent="0.2">
      <c r="A1433" s="40">
        <v>6131</v>
      </c>
      <c r="B1433" s="39" t="s">
        <v>2191</v>
      </c>
      <c r="C1433" s="40" t="s">
        <v>871</v>
      </c>
      <c r="D1433" s="74" t="s">
        <v>1271</v>
      </c>
      <c r="E1433" s="74" t="s">
        <v>1266</v>
      </c>
      <c r="F1433" s="74" t="s">
        <v>1267</v>
      </c>
      <c r="G1433" s="74" t="s">
        <v>1268</v>
      </c>
    </row>
    <row r="1434" spans="1:7" x14ac:dyDescent="0.2">
      <c r="A1434" s="40">
        <v>6133</v>
      </c>
      <c r="B1434" s="39" t="s">
        <v>2192</v>
      </c>
      <c r="C1434" s="40" t="s">
        <v>871</v>
      </c>
      <c r="D1434" s="74" t="s">
        <v>1269</v>
      </c>
      <c r="E1434" s="74" t="s">
        <v>1266</v>
      </c>
      <c r="F1434" s="74" t="s">
        <v>1268</v>
      </c>
      <c r="G1434" s="74" t="s">
        <v>1267</v>
      </c>
    </row>
    <row r="1435" spans="1:7" x14ac:dyDescent="0.2">
      <c r="A1435" s="40">
        <v>6134</v>
      </c>
      <c r="B1435" s="39" t="s">
        <v>2193</v>
      </c>
      <c r="C1435" s="40" t="s">
        <v>871</v>
      </c>
      <c r="D1435" s="74" t="s">
        <v>1269</v>
      </c>
      <c r="E1435" s="74" t="s">
        <v>1266</v>
      </c>
      <c r="F1435" s="74" t="s">
        <v>1268</v>
      </c>
      <c r="G1435" s="74" t="s">
        <v>1268</v>
      </c>
    </row>
    <row r="1436" spans="1:7" x14ac:dyDescent="0.2">
      <c r="A1436" s="40">
        <v>6135</v>
      </c>
      <c r="B1436" s="39" t="s">
        <v>2194</v>
      </c>
      <c r="C1436" s="40" t="s">
        <v>871</v>
      </c>
      <c r="D1436" s="74" t="s">
        <v>1269</v>
      </c>
      <c r="E1436" s="74" t="s">
        <v>1266</v>
      </c>
      <c r="F1436" s="74" t="s">
        <v>1268</v>
      </c>
      <c r="G1436" s="74" t="s">
        <v>1268</v>
      </c>
    </row>
    <row r="1437" spans="1:7" x14ac:dyDescent="0.2">
      <c r="A1437" s="40">
        <v>6141</v>
      </c>
      <c r="B1437" s="39" t="s">
        <v>2195</v>
      </c>
      <c r="C1437" s="40" t="s">
        <v>871</v>
      </c>
      <c r="D1437" s="74" t="s">
        <v>1269</v>
      </c>
      <c r="E1437" s="74" t="s">
        <v>1266</v>
      </c>
      <c r="F1437" s="74" t="s">
        <v>1268</v>
      </c>
      <c r="G1437" s="74" t="s">
        <v>1267</v>
      </c>
    </row>
    <row r="1438" spans="1:7" x14ac:dyDescent="0.2">
      <c r="A1438" s="40">
        <v>6142</v>
      </c>
      <c r="B1438" s="39" t="s">
        <v>2196</v>
      </c>
      <c r="C1438" s="40" t="s">
        <v>871</v>
      </c>
      <c r="D1438" s="74" t="s">
        <v>1269</v>
      </c>
      <c r="E1438" s="74" t="s">
        <v>1266</v>
      </c>
      <c r="F1438" s="74" t="s">
        <v>1268</v>
      </c>
      <c r="G1438" s="74" t="s">
        <v>1267</v>
      </c>
    </row>
    <row r="1439" spans="1:7" x14ac:dyDescent="0.2">
      <c r="A1439" s="40">
        <v>6143</v>
      </c>
      <c r="B1439" s="39" t="s">
        <v>2197</v>
      </c>
      <c r="C1439" s="40" t="s">
        <v>871</v>
      </c>
      <c r="D1439" s="74" t="s">
        <v>1269</v>
      </c>
      <c r="E1439" s="74" t="s">
        <v>1266</v>
      </c>
      <c r="F1439" s="74" t="s">
        <v>1268</v>
      </c>
      <c r="G1439" s="74" t="s">
        <v>1268</v>
      </c>
    </row>
    <row r="1440" spans="1:7" x14ac:dyDescent="0.2">
      <c r="A1440" s="40">
        <v>6145</v>
      </c>
      <c r="B1440" s="39" t="s">
        <v>2198</v>
      </c>
      <c r="C1440" s="40" t="s">
        <v>871</v>
      </c>
      <c r="D1440" s="74" t="s">
        <v>1269</v>
      </c>
      <c r="E1440" s="74" t="s">
        <v>1266</v>
      </c>
      <c r="F1440" s="74" t="s">
        <v>1268</v>
      </c>
      <c r="G1440" s="74" t="s">
        <v>1267</v>
      </c>
    </row>
    <row r="1441" spans="1:7" x14ac:dyDescent="0.2">
      <c r="A1441" s="40">
        <v>6150</v>
      </c>
      <c r="B1441" s="39" t="s">
        <v>887</v>
      </c>
      <c r="C1441" s="40" t="s">
        <v>871</v>
      </c>
      <c r="D1441" s="74" t="s">
        <v>1269</v>
      </c>
      <c r="E1441" s="74" t="s">
        <v>1266</v>
      </c>
      <c r="F1441" s="74" t="s">
        <v>1268</v>
      </c>
      <c r="G1441" s="74" t="s">
        <v>1268</v>
      </c>
    </row>
    <row r="1442" spans="1:7" x14ac:dyDescent="0.2">
      <c r="A1442" s="40">
        <v>6152</v>
      </c>
      <c r="B1442" s="39" t="s">
        <v>888</v>
      </c>
      <c r="C1442" s="40" t="s">
        <v>871</v>
      </c>
      <c r="D1442" s="74" t="s">
        <v>1269</v>
      </c>
      <c r="E1442" s="74" t="s">
        <v>1266</v>
      </c>
      <c r="F1442" s="74" t="s">
        <v>1268</v>
      </c>
      <c r="G1442" s="74" t="s">
        <v>1267</v>
      </c>
    </row>
    <row r="1443" spans="1:7" x14ac:dyDescent="0.2">
      <c r="A1443" s="40">
        <v>6154</v>
      </c>
      <c r="B1443" s="39" t="s">
        <v>889</v>
      </c>
      <c r="C1443" s="40" t="s">
        <v>871</v>
      </c>
      <c r="D1443" s="74" t="s">
        <v>1269</v>
      </c>
      <c r="E1443" s="74" t="s">
        <v>1266</v>
      </c>
      <c r="F1443" s="74" t="s">
        <v>1268</v>
      </c>
      <c r="G1443" s="74" t="s">
        <v>1267</v>
      </c>
    </row>
    <row r="1444" spans="1:7" x14ac:dyDescent="0.2">
      <c r="A1444" s="40">
        <v>6156</v>
      </c>
      <c r="B1444" s="39" t="s">
        <v>890</v>
      </c>
      <c r="C1444" s="40" t="s">
        <v>871</v>
      </c>
      <c r="D1444" s="74" t="s">
        <v>1269</v>
      </c>
      <c r="E1444" s="74" t="s">
        <v>1266</v>
      </c>
      <c r="F1444" s="74" t="s">
        <v>1268</v>
      </c>
      <c r="G1444" s="74" t="s">
        <v>1267</v>
      </c>
    </row>
    <row r="1445" spans="1:7" x14ac:dyDescent="0.2">
      <c r="A1445" s="40">
        <v>6157</v>
      </c>
      <c r="B1445" s="39" t="s">
        <v>891</v>
      </c>
      <c r="C1445" s="40" t="s">
        <v>871</v>
      </c>
      <c r="D1445" s="74" t="s">
        <v>1269</v>
      </c>
      <c r="E1445" s="74" t="s">
        <v>1266</v>
      </c>
      <c r="F1445" s="74" t="s">
        <v>1268</v>
      </c>
      <c r="G1445" s="74" t="s">
        <v>1267</v>
      </c>
    </row>
    <row r="1446" spans="1:7" x14ac:dyDescent="0.2">
      <c r="A1446" s="40">
        <v>6161</v>
      </c>
      <c r="B1446" s="39" t="s">
        <v>892</v>
      </c>
      <c r="C1446" s="40" t="s">
        <v>871</v>
      </c>
      <c r="D1446" s="74" t="s">
        <v>1269</v>
      </c>
      <c r="E1446" s="74" t="s">
        <v>1266</v>
      </c>
      <c r="F1446" s="74" t="s">
        <v>1268</v>
      </c>
      <c r="G1446" s="74" t="s">
        <v>1267</v>
      </c>
    </row>
    <row r="1447" spans="1:7" x14ac:dyDescent="0.2">
      <c r="A1447" s="40">
        <v>6162</v>
      </c>
      <c r="B1447" s="39" t="s">
        <v>893</v>
      </c>
      <c r="C1447" s="40" t="s">
        <v>871</v>
      </c>
      <c r="D1447" s="74" t="s">
        <v>1269</v>
      </c>
      <c r="E1447" s="74" t="s">
        <v>1266</v>
      </c>
      <c r="F1447" s="74" t="s">
        <v>1268</v>
      </c>
      <c r="G1447" s="74" t="s">
        <v>1268</v>
      </c>
    </row>
    <row r="1448" spans="1:7" x14ac:dyDescent="0.2">
      <c r="A1448" s="40">
        <v>6165</v>
      </c>
      <c r="B1448" s="39" t="s">
        <v>894</v>
      </c>
      <c r="C1448" s="40" t="s">
        <v>871</v>
      </c>
      <c r="D1448" s="74" t="s">
        <v>1269</v>
      </c>
      <c r="E1448" s="74" t="s">
        <v>1266</v>
      </c>
      <c r="F1448" s="74" t="s">
        <v>1268</v>
      </c>
      <c r="G1448" s="74" t="s">
        <v>1267</v>
      </c>
    </row>
    <row r="1449" spans="1:7" x14ac:dyDescent="0.2">
      <c r="A1449" s="40">
        <v>6166</v>
      </c>
      <c r="B1449" s="39" t="s">
        <v>895</v>
      </c>
      <c r="C1449" s="40" t="s">
        <v>871</v>
      </c>
      <c r="D1449" s="74" t="s">
        <v>1269</v>
      </c>
      <c r="E1449" s="74" t="s">
        <v>1266</v>
      </c>
      <c r="F1449" s="74" t="s">
        <v>1268</v>
      </c>
      <c r="G1449" s="74" t="s">
        <v>1268</v>
      </c>
    </row>
    <row r="1450" spans="1:7" x14ac:dyDescent="0.2">
      <c r="A1450" s="40">
        <v>6167</v>
      </c>
      <c r="B1450" s="39" t="s">
        <v>896</v>
      </c>
      <c r="C1450" s="40" t="s">
        <v>871</v>
      </c>
      <c r="D1450" s="74" t="s">
        <v>1269</v>
      </c>
      <c r="E1450" s="74" t="s">
        <v>1266</v>
      </c>
      <c r="F1450" s="74" t="s">
        <v>1268</v>
      </c>
      <c r="G1450" s="74" t="s">
        <v>1268</v>
      </c>
    </row>
    <row r="1451" spans="1:7" x14ac:dyDescent="0.2">
      <c r="A1451" s="40">
        <v>6170</v>
      </c>
      <c r="B1451" s="39" t="s">
        <v>897</v>
      </c>
      <c r="C1451" s="40" t="s">
        <v>871</v>
      </c>
      <c r="D1451" s="74" t="s">
        <v>1269</v>
      </c>
      <c r="E1451" s="74" t="s">
        <v>1266</v>
      </c>
      <c r="F1451" s="74" t="s">
        <v>1268</v>
      </c>
      <c r="G1451" s="74" t="s">
        <v>1268</v>
      </c>
    </row>
    <row r="1452" spans="1:7" x14ac:dyDescent="0.2">
      <c r="A1452" s="40">
        <v>6173</v>
      </c>
      <c r="B1452" s="39" t="s">
        <v>898</v>
      </c>
      <c r="C1452" s="40" t="s">
        <v>871</v>
      </c>
      <c r="D1452" s="74" t="s">
        <v>1269</v>
      </c>
      <c r="E1452" s="74" t="s">
        <v>1266</v>
      </c>
      <c r="F1452" s="74" t="s">
        <v>1268</v>
      </c>
      <c r="G1452" s="74" t="s">
        <v>1268</v>
      </c>
    </row>
    <row r="1453" spans="1:7" x14ac:dyDescent="0.2">
      <c r="A1453" s="40">
        <v>6175</v>
      </c>
      <c r="B1453" s="39" t="s">
        <v>900</v>
      </c>
      <c r="C1453" s="40" t="s">
        <v>871</v>
      </c>
      <c r="D1453" s="74" t="s">
        <v>1269</v>
      </c>
      <c r="E1453" s="74" t="s">
        <v>1266</v>
      </c>
      <c r="F1453" s="74" t="s">
        <v>1268</v>
      </c>
      <c r="G1453" s="74" t="s">
        <v>1268</v>
      </c>
    </row>
    <row r="1454" spans="1:7" x14ac:dyDescent="0.2">
      <c r="A1454" s="40">
        <v>6176</v>
      </c>
      <c r="B1454" s="39" t="s">
        <v>901</v>
      </c>
      <c r="C1454" s="40" t="s">
        <v>871</v>
      </c>
      <c r="D1454" s="74" t="s">
        <v>1269</v>
      </c>
      <c r="E1454" s="74" t="s">
        <v>1266</v>
      </c>
      <c r="F1454" s="74" t="s">
        <v>1268</v>
      </c>
      <c r="G1454" s="74" t="s">
        <v>1268</v>
      </c>
    </row>
    <row r="1455" spans="1:7" x14ac:dyDescent="0.2">
      <c r="A1455" s="40">
        <v>6177</v>
      </c>
      <c r="B1455" s="39" t="s">
        <v>901</v>
      </c>
      <c r="C1455" s="40" t="s">
        <v>871</v>
      </c>
      <c r="D1455" s="74" t="s">
        <v>1271</v>
      </c>
      <c r="E1455" s="74" t="s">
        <v>1266</v>
      </c>
      <c r="F1455" s="74" t="s">
        <v>1267</v>
      </c>
      <c r="G1455" s="74" t="s">
        <v>1268</v>
      </c>
    </row>
    <row r="1456" spans="1:7" x14ac:dyDescent="0.2">
      <c r="A1456" s="40">
        <v>6178</v>
      </c>
      <c r="B1456" s="39" t="s">
        <v>902</v>
      </c>
      <c r="C1456" s="40" t="s">
        <v>871</v>
      </c>
      <c r="D1456" s="74" t="s">
        <v>1269</v>
      </c>
      <c r="E1456" s="74" t="s">
        <v>1266</v>
      </c>
      <c r="F1456" s="74" t="s">
        <v>1268</v>
      </c>
      <c r="G1456" s="74" t="s">
        <v>1267</v>
      </c>
    </row>
    <row r="1457" spans="1:7" x14ac:dyDescent="0.2">
      <c r="A1457" s="40">
        <v>6179</v>
      </c>
      <c r="B1457" s="39" t="s">
        <v>903</v>
      </c>
      <c r="C1457" s="40" t="s">
        <v>871</v>
      </c>
      <c r="D1457" s="74" t="s">
        <v>1269</v>
      </c>
      <c r="E1457" s="74" t="s">
        <v>1266</v>
      </c>
      <c r="F1457" s="74" t="s">
        <v>1268</v>
      </c>
      <c r="G1457" s="74" t="s">
        <v>1267</v>
      </c>
    </row>
    <row r="1458" spans="1:7" x14ac:dyDescent="0.2">
      <c r="A1458" s="40">
        <v>6181</v>
      </c>
      <c r="B1458" s="39" t="s">
        <v>904</v>
      </c>
      <c r="C1458" s="40" t="s">
        <v>871</v>
      </c>
      <c r="D1458" s="74" t="s">
        <v>1269</v>
      </c>
      <c r="E1458" s="74" t="s">
        <v>1266</v>
      </c>
      <c r="F1458" s="74" t="s">
        <v>1268</v>
      </c>
      <c r="G1458" s="74" t="s">
        <v>1268</v>
      </c>
    </row>
    <row r="1459" spans="1:7" x14ac:dyDescent="0.2">
      <c r="A1459" s="40">
        <v>6182</v>
      </c>
      <c r="B1459" s="39" t="s">
        <v>905</v>
      </c>
      <c r="C1459" s="40" t="s">
        <v>871</v>
      </c>
      <c r="D1459" s="74" t="s">
        <v>1269</v>
      </c>
      <c r="E1459" s="74" t="s">
        <v>1266</v>
      </c>
      <c r="F1459" s="74" t="s">
        <v>1268</v>
      </c>
      <c r="G1459" s="74" t="s">
        <v>1268</v>
      </c>
    </row>
    <row r="1460" spans="1:7" x14ac:dyDescent="0.2">
      <c r="A1460" s="40">
        <v>6183</v>
      </c>
      <c r="B1460" s="39" t="s">
        <v>906</v>
      </c>
      <c r="C1460" s="40" t="s">
        <v>871</v>
      </c>
      <c r="D1460" s="74" t="s">
        <v>1269</v>
      </c>
      <c r="E1460" s="74" t="s">
        <v>1266</v>
      </c>
      <c r="F1460" s="74" t="s">
        <v>1268</v>
      </c>
      <c r="G1460" s="74" t="s">
        <v>1267</v>
      </c>
    </row>
    <row r="1461" spans="1:7" x14ac:dyDescent="0.2">
      <c r="A1461" s="40">
        <v>6184</v>
      </c>
      <c r="B1461" s="39" t="s">
        <v>907</v>
      </c>
      <c r="C1461" s="40" t="s">
        <v>871</v>
      </c>
      <c r="D1461" s="74" t="s">
        <v>1269</v>
      </c>
      <c r="E1461" s="74" t="s">
        <v>1266</v>
      </c>
      <c r="F1461" s="74" t="s">
        <v>1268</v>
      </c>
      <c r="G1461" s="74" t="s">
        <v>1267</v>
      </c>
    </row>
    <row r="1462" spans="1:7" x14ac:dyDescent="0.2">
      <c r="A1462" s="40">
        <v>6200</v>
      </c>
      <c r="B1462" s="39" t="s">
        <v>908</v>
      </c>
      <c r="C1462" s="40" t="s">
        <v>871</v>
      </c>
      <c r="D1462" s="74" t="s">
        <v>1269</v>
      </c>
      <c r="E1462" s="74" t="s">
        <v>1266</v>
      </c>
      <c r="F1462" s="74" t="s">
        <v>1268</v>
      </c>
      <c r="G1462" s="74" t="s">
        <v>1268</v>
      </c>
    </row>
    <row r="1463" spans="1:7" x14ac:dyDescent="0.2">
      <c r="A1463" s="40">
        <v>6210</v>
      </c>
      <c r="B1463" s="39" t="s">
        <v>909</v>
      </c>
      <c r="C1463" s="40" t="s">
        <v>871</v>
      </c>
      <c r="D1463" s="74" t="s">
        <v>1269</v>
      </c>
      <c r="E1463" s="74" t="s">
        <v>1266</v>
      </c>
      <c r="F1463" s="74" t="s">
        <v>1268</v>
      </c>
      <c r="G1463" s="74" t="s">
        <v>1267</v>
      </c>
    </row>
    <row r="1464" spans="1:7" x14ac:dyDescent="0.2">
      <c r="A1464" s="40">
        <v>6212</v>
      </c>
      <c r="B1464" s="39" t="s">
        <v>910</v>
      </c>
      <c r="C1464" s="40" t="s">
        <v>871</v>
      </c>
      <c r="D1464" s="74" t="s">
        <v>1269</v>
      </c>
      <c r="E1464" s="74" t="s">
        <v>1266</v>
      </c>
      <c r="F1464" s="74" t="s">
        <v>1268</v>
      </c>
      <c r="G1464" s="74" t="s">
        <v>1268</v>
      </c>
    </row>
    <row r="1465" spans="1:7" x14ac:dyDescent="0.2">
      <c r="A1465" s="40">
        <v>6213</v>
      </c>
      <c r="B1465" s="39" t="s">
        <v>911</v>
      </c>
      <c r="C1465" s="40" t="s">
        <v>871</v>
      </c>
      <c r="D1465" s="74" t="s">
        <v>1269</v>
      </c>
      <c r="E1465" s="74" t="s">
        <v>1266</v>
      </c>
      <c r="F1465" s="74" t="s">
        <v>1268</v>
      </c>
      <c r="G1465" s="74" t="s">
        <v>1267</v>
      </c>
    </row>
    <row r="1466" spans="1:7" x14ac:dyDescent="0.2">
      <c r="A1466" s="40">
        <v>6215</v>
      </c>
      <c r="B1466" s="39" t="s">
        <v>912</v>
      </c>
      <c r="C1466" s="40" t="s">
        <v>871</v>
      </c>
      <c r="D1466" s="74" t="s">
        <v>1269</v>
      </c>
      <c r="E1466" s="74" t="s">
        <v>1266</v>
      </c>
      <c r="F1466" s="74" t="s">
        <v>1268</v>
      </c>
      <c r="G1466" s="74" t="s">
        <v>1268</v>
      </c>
    </row>
    <row r="1467" spans="1:7" x14ac:dyDescent="0.2">
      <c r="A1467" s="40">
        <v>6222</v>
      </c>
      <c r="B1467" s="39" t="s">
        <v>913</v>
      </c>
      <c r="C1467" s="40" t="s">
        <v>871</v>
      </c>
      <c r="D1467" s="74" t="s">
        <v>1269</v>
      </c>
      <c r="E1467" s="74" t="s">
        <v>1266</v>
      </c>
      <c r="F1467" s="74" t="s">
        <v>1268</v>
      </c>
      <c r="G1467" s="74" t="s">
        <v>1267</v>
      </c>
    </row>
    <row r="1468" spans="1:7" x14ac:dyDescent="0.2">
      <c r="A1468" s="40">
        <v>6230</v>
      </c>
      <c r="B1468" s="39" t="s">
        <v>914</v>
      </c>
      <c r="C1468" s="40" t="s">
        <v>871</v>
      </c>
      <c r="D1468" s="74" t="s">
        <v>1269</v>
      </c>
      <c r="E1468" s="74" t="s">
        <v>1266</v>
      </c>
      <c r="F1468" s="74" t="s">
        <v>1268</v>
      </c>
      <c r="G1468" s="74" t="s">
        <v>1268</v>
      </c>
    </row>
    <row r="1469" spans="1:7" x14ac:dyDescent="0.2">
      <c r="A1469" s="40">
        <v>6232</v>
      </c>
      <c r="B1469" s="39" t="s">
        <v>915</v>
      </c>
      <c r="C1469" s="40" t="s">
        <v>871</v>
      </c>
      <c r="D1469" s="74" t="s">
        <v>1269</v>
      </c>
      <c r="E1469" s="74" t="s">
        <v>1266</v>
      </c>
      <c r="F1469" s="74" t="s">
        <v>1268</v>
      </c>
      <c r="G1469" s="74" t="s">
        <v>1268</v>
      </c>
    </row>
    <row r="1470" spans="1:7" x14ac:dyDescent="0.2">
      <c r="A1470" s="40">
        <v>6233</v>
      </c>
      <c r="B1470" s="39" t="s">
        <v>916</v>
      </c>
      <c r="C1470" s="40" t="s">
        <v>871</v>
      </c>
      <c r="D1470" s="74" t="s">
        <v>1269</v>
      </c>
      <c r="E1470" s="74" t="s">
        <v>1266</v>
      </c>
      <c r="F1470" s="74" t="s">
        <v>1268</v>
      </c>
      <c r="G1470" s="74" t="s">
        <v>1268</v>
      </c>
    </row>
    <row r="1471" spans="1:7" x14ac:dyDescent="0.2">
      <c r="A1471" s="40">
        <v>6234</v>
      </c>
      <c r="B1471" s="39" t="s">
        <v>917</v>
      </c>
      <c r="C1471" s="40" t="s">
        <v>871</v>
      </c>
      <c r="D1471" s="74" t="s">
        <v>1269</v>
      </c>
      <c r="E1471" s="74" t="s">
        <v>1266</v>
      </c>
      <c r="F1471" s="74" t="s">
        <v>1268</v>
      </c>
      <c r="G1471" s="74" t="s">
        <v>1267</v>
      </c>
    </row>
    <row r="1472" spans="1:7" x14ac:dyDescent="0.2">
      <c r="A1472" s="40">
        <v>6235</v>
      </c>
      <c r="B1472" s="39" t="s">
        <v>918</v>
      </c>
      <c r="C1472" s="40" t="s">
        <v>871</v>
      </c>
      <c r="D1472" s="74" t="s">
        <v>1269</v>
      </c>
      <c r="E1472" s="74" t="s">
        <v>1266</v>
      </c>
      <c r="F1472" s="74" t="s">
        <v>1268</v>
      </c>
      <c r="G1472" s="74" t="s">
        <v>1267</v>
      </c>
    </row>
    <row r="1473" spans="1:7" x14ac:dyDescent="0.2">
      <c r="A1473" s="40">
        <v>6236</v>
      </c>
      <c r="B1473" s="39" t="s">
        <v>919</v>
      </c>
      <c r="C1473" s="40" t="s">
        <v>871</v>
      </c>
      <c r="D1473" s="74" t="s">
        <v>1269</v>
      </c>
      <c r="E1473" s="74" t="s">
        <v>1266</v>
      </c>
      <c r="F1473" s="74" t="s">
        <v>1268</v>
      </c>
      <c r="G1473" s="74" t="s">
        <v>1268</v>
      </c>
    </row>
    <row r="1474" spans="1:7" x14ac:dyDescent="0.2">
      <c r="A1474" s="40">
        <v>6240</v>
      </c>
      <c r="B1474" s="39" t="s">
        <v>920</v>
      </c>
      <c r="C1474" s="40" t="s">
        <v>871</v>
      </c>
      <c r="D1474" s="74" t="s">
        <v>1269</v>
      </c>
      <c r="E1474" s="74" t="s">
        <v>1266</v>
      </c>
      <c r="F1474" s="74" t="s">
        <v>1268</v>
      </c>
      <c r="G1474" s="74" t="s">
        <v>1268</v>
      </c>
    </row>
    <row r="1475" spans="1:7" x14ac:dyDescent="0.2">
      <c r="A1475" s="40">
        <v>6250</v>
      </c>
      <c r="B1475" s="39" t="s">
        <v>921</v>
      </c>
      <c r="C1475" s="40" t="s">
        <v>871</v>
      </c>
      <c r="D1475" s="74" t="s">
        <v>1269</v>
      </c>
      <c r="E1475" s="74" t="s">
        <v>1266</v>
      </c>
      <c r="F1475" s="74" t="s">
        <v>1268</v>
      </c>
      <c r="G1475" s="74" t="s">
        <v>1268</v>
      </c>
    </row>
    <row r="1476" spans="1:7" x14ac:dyDescent="0.2">
      <c r="A1476" s="40">
        <v>6252</v>
      </c>
      <c r="B1476" s="39" t="s">
        <v>922</v>
      </c>
      <c r="C1476" s="40" t="s">
        <v>871</v>
      </c>
      <c r="D1476" s="74" t="s">
        <v>1269</v>
      </c>
      <c r="E1476" s="74" t="s">
        <v>1266</v>
      </c>
      <c r="F1476" s="74" t="s">
        <v>1268</v>
      </c>
      <c r="G1476" s="74" t="s">
        <v>1267</v>
      </c>
    </row>
    <row r="1477" spans="1:7" x14ac:dyDescent="0.2">
      <c r="A1477" s="40">
        <v>6260</v>
      </c>
      <c r="B1477" s="39" t="s">
        <v>923</v>
      </c>
      <c r="C1477" s="40" t="s">
        <v>871</v>
      </c>
      <c r="D1477" s="74" t="s">
        <v>1269</v>
      </c>
      <c r="E1477" s="74" t="s">
        <v>1266</v>
      </c>
      <c r="F1477" s="74" t="s">
        <v>1268</v>
      </c>
      <c r="G1477" s="74" t="s">
        <v>1267</v>
      </c>
    </row>
    <row r="1478" spans="1:7" x14ac:dyDescent="0.2">
      <c r="A1478" s="40">
        <v>6261</v>
      </c>
      <c r="B1478" s="39" t="s">
        <v>924</v>
      </c>
      <c r="C1478" s="40" t="s">
        <v>871</v>
      </c>
      <c r="D1478" s="74" t="s">
        <v>1269</v>
      </c>
      <c r="E1478" s="74" t="s">
        <v>1266</v>
      </c>
      <c r="F1478" s="74" t="s">
        <v>1268</v>
      </c>
      <c r="G1478" s="74" t="s">
        <v>1267</v>
      </c>
    </row>
    <row r="1479" spans="1:7" x14ac:dyDescent="0.2">
      <c r="A1479" s="40">
        <v>6262</v>
      </c>
      <c r="B1479" s="39" t="s">
        <v>925</v>
      </c>
      <c r="C1479" s="40" t="s">
        <v>871</v>
      </c>
      <c r="D1479" s="74" t="s">
        <v>1269</v>
      </c>
      <c r="E1479" s="74" t="s">
        <v>1266</v>
      </c>
      <c r="F1479" s="74" t="s">
        <v>1268</v>
      </c>
      <c r="G1479" s="74" t="s">
        <v>1268</v>
      </c>
    </row>
    <row r="1480" spans="1:7" x14ac:dyDescent="0.2">
      <c r="A1480" s="40">
        <v>6263</v>
      </c>
      <c r="B1480" s="39" t="s">
        <v>926</v>
      </c>
      <c r="C1480" s="40" t="s">
        <v>871</v>
      </c>
      <c r="D1480" s="74" t="s">
        <v>1269</v>
      </c>
      <c r="E1480" s="74" t="s">
        <v>1266</v>
      </c>
      <c r="F1480" s="74" t="s">
        <v>1268</v>
      </c>
      <c r="G1480" s="74" t="s">
        <v>1268</v>
      </c>
    </row>
    <row r="1481" spans="1:7" x14ac:dyDescent="0.2">
      <c r="A1481" s="40">
        <v>6265</v>
      </c>
      <c r="B1481" s="39" t="s">
        <v>927</v>
      </c>
      <c r="C1481" s="40" t="s">
        <v>871</v>
      </c>
      <c r="D1481" s="74" t="s">
        <v>1269</v>
      </c>
      <c r="E1481" s="74" t="s">
        <v>1266</v>
      </c>
      <c r="F1481" s="74" t="s">
        <v>1268</v>
      </c>
      <c r="G1481" s="74" t="s">
        <v>1267</v>
      </c>
    </row>
    <row r="1482" spans="1:7" x14ac:dyDescent="0.2">
      <c r="A1482" s="40">
        <v>6271</v>
      </c>
      <c r="B1482" s="39" t="s">
        <v>928</v>
      </c>
      <c r="C1482" s="40" t="s">
        <v>871</v>
      </c>
      <c r="D1482" s="74" t="s">
        <v>1269</v>
      </c>
      <c r="E1482" s="74" t="s">
        <v>1266</v>
      </c>
      <c r="F1482" s="74" t="s">
        <v>1268</v>
      </c>
      <c r="G1482" s="74" t="s">
        <v>1268</v>
      </c>
    </row>
    <row r="1483" spans="1:7" x14ac:dyDescent="0.2">
      <c r="A1483" s="40">
        <v>6272</v>
      </c>
      <c r="B1483" s="39" t="s">
        <v>935</v>
      </c>
      <c r="C1483" s="40" t="s">
        <v>871</v>
      </c>
      <c r="D1483" s="74" t="s">
        <v>1269</v>
      </c>
      <c r="E1483" s="74" t="s">
        <v>1266</v>
      </c>
      <c r="F1483" s="74" t="s">
        <v>1268</v>
      </c>
      <c r="G1483" s="74" t="s">
        <v>1268</v>
      </c>
    </row>
    <row r="1484" spans="1:7" x14ac:dyDescent="0.2">
      <c r="A1484" s="40">
        <v>6274</v>
      </c>
      <c r="B1484" s="39" t="s">
        <v>936</v>
      </c>
      <c r="C1484" s="40" t="s">
        <v>871</v>
      </c>
      <c r="D1484" s="74" t="s">
        <v>1269</v>
      </c>
      <c r="E1484" s="74" t="s">
        <v>1266</v>
      </c>
      <c r="F1484" s="74" t="s">
        <v>1268</v>
      </c>
      <c r="G1484" s="74" t="s">
        <v>1268</v>
      </c>
    </row>
    <row r="1485" spans="1:7" x14ac:dyDescent="0.2">
      <c r="A1485" s="40">
        <v>6275</v>
      </c>
      <c r="B1485" s="39" t="s">
        <v>937</v>
      </c>
      <c r="C1485" s="40" t="s">
        <v>871</v>
      </c>
      <c r="D1485" s="74" t="s">
        <v>1269</v>
      </c>
      <c r="E1485" s="74" t="s">
        <v>1266</v>
      </c>
      <c r="F1485" s="74" t="s">
        <v>1268</v>
      </c>
      <c r="G1485" s="74" t="s">
        <v>1267</v>
      </c>
    </row>
    <row r="1486" spans="1:7" x14ac:dyDescent="0.2">
      <c r="A1486" s="40">
        <v>6276</v>
      </c>
      <c r="B1486" s="39" t="s">
        <v>938</v>
      </c>
      <c r="C1486" s="40" t="s">
        <v>871</v>
      </c>
      <c r="D1486" s="74" t="s">
        <v>1269</v>
      </c>
      <c r="E1486" s="74" t="s">
        <v>1266</v>
      </c>
      <c r="F1486" s="74" t="s">
        <v>1268</v>
      </c>
      <c r="G1486" s="74" t="s">
        <v>1267</v>
      </c>
    </row>
    <row r="1487" spans="1:7" x14ac:dyDescent="0.2">
      <c r="A1487" s="40">
        <v>6280</v>
      </c>
      <c r="B1487" s="39" t="s">
        <v>939</v>
      </c>
      <c r="C1487" s="40" t="s">
        <v>871</v>
      </c>
      <c r="D1487" s="74" t="s">
        <v>1269</v>
      </c>
      <c r="E1487" s="74" t="s">
        <v>1266</v>
      </c>
      <c r="F1487" s="74" t="s">
        <v>1268</v>
      </c>
      <c r="G1487" s="74" t="s">
        <v>1268</v>
      </c>
    </row>
    <row r="1488" spans="1:7" x14ac:dyDescent="0.2">
      <c r="A1488" s="40">
        <v>6281</v>
      </c>
      <c r="B1488" s="39" t="s">
        <v>940</v>
      </c>
      <c r="C1488" s="40" t="s">
        <v>871</v>
      </c>
      <c r="D1488" s="74" t="s">
        <v>1269</v>
      </c>
      <c r="E1488" s="74" t="s">
        <v>1266</v>
      </c>
      <c r="F1488" s="74" t="s">
        <v>1268</v>
      </c>
      <c r="G1488" s="74" t="s">
        <v>1268</v>
      </c>
    </row>
    <row r="1489" spans="1:7" x14ac:dyDescent="0.2">
      <c r="A1489" s="40">
        <v>6283</v>
      </c>
      <c r="B1489" s="39" t="s">
        <v>941</v>
      </c>
      <c r="C1489" s="40" t="s">
        <v>871</v>
      </c>
      <c r="D1489" s="74" t="s">
        <v>1269</v>
      </c>
      <c r="E1489" s="74" t="s">
        <v>1266</v>
      </c>
      <c r="F1489" s="74" t="s">
        <v>1268</v>
      </c>
      <c r="G1489" s="74" t="s">
        <v>1268</v>
      </c>
    </row>
    <row r="1490" spans="1:7" x14ac:dyDescent="0.2">
      <c r="A1490" s="40">
        <v>6284</v>
      </c>
      <c r="B1490" s="39" t="s">
        <v>942</v>
      </c>
      <c r="C1490" s="40" t="s">
        <v>871</v>
      </c>
      <c r="D1490" s="74" t="s">
        <v>1269</v>
      </c>
      <c r="E1490" s="74" t="s">
        <v>1266</v>
      </c>
      <c r="F1490" s="74" t="s">
        <v>1268</v>
      </c>
      <c r="G1490" s="74" t="s">
        <v>1267</v>
      </c>
    </row>
    <row r="1491" spans="1:7" x14ac:dyDescent="0.2">
      <c r="A1491" s="40">
        <v>6290</v>
      </c>
      <c r="B1491" s="39" t="s">
        <v>943</v>
      </c>
      <c r="C1491" s="40" t="s">
        <v>871</v>
      </c>
      <c r="D1491" s="74" t="s">
        <v>1269</v>
      </c>
      <c r="E1491" s="74" t="s">
        <v>1266</v>
      </c>
      <c r="F1491" s="74" t="s">
        <v>1268</v>
      </c>
      <c r="G1491" s="74" t="s">
        <v>1268</v>
      </c>
    </row>
    <row r="1492" spans="1:7" x14ac:dyDescent="0.2">
      <c r="A1492" s="40">
        <v>6292</v>
      </c>
      <c r="B1492" s="39" t="s">
        <v>944</v>
      </c>
      <c r="C1492" s="40" t="s">
        <v>871</v>
      </c>
      <c r="D1492" s="74" t="s">
        <v>1269</v>
      </c>
      <c r="E1492" s="74" t="s">
        <v>1266</v>
      </c>
      <c r="F1492" s="74" t="s">
        <v>1268</v>
      </c>
      <c r="G1492" s="74" t="s">
        <v>1267</v>
      </c>
    </row>
    <row r="1493" spans="1:7" x14ac:dyDescent="0.2">
      <c r="A1493" s="40">
        <v>6293</v>
      </c>
      <c r="B1493" s="39" t="s">
        <v>945</v>
      </c>
      <c r="C1493" s="40" t="s">
        <v>871</v>
      </c>
      <c r="D1493" s="74" t="s">
        <v>1269</v>
      </c>
      <c r="E1493" s="74" t="s">
        <v>1266</v>
      </c>
      <c r="F1493" s="74" t="s">
        <v>1268</v>
      </c>
      <c r="G1493" s="74" t="s">
        <v>1268</v>
      </c>
    </row>
    <row r="1494" spans="1:7" x14ac:dyDescent="0.2">
      <c r="A1494" s="40">
        <v>6294</v>
      </c>
      <c r="B1494" s="39" t="s">
        <v>946</v>
      </c>
      <c r="C1494" s="40" t="s">
        <v>871</v>
      </c>
      <c r="D1494" s="74" t="s">
        <v>1269</v>
      </c>
      <c r="E1494" s="74" t="s">
        <v>1266</v>
      </c>
      <c r="F1494" s="74" t="s">
        <v>1268</v>
      </c>
      <c r="G1494" s="74" t="s">
        <v>1267</v>
      </c>
    </row>
    <row r="1495" spans="1:7" x14ac:dyDescent="0.2">
      <c r="A1495" s="40">
        <v>6295</v>
      </c>
      <c r="B1495" s="39" t="s">
        <v>947</v>
      </c>
      <c r="C1495" s="40" t="s">
        <v>871</v>
      </c>
      <c r="D1495" s="74" t="s">
        <v>1269</v>
      </c>
      <c r="E1495" s="74" t="s">
        <v>1266</v>
      </c>
      <c r="F1495" s="74" t="s">
        <v>1268</v>
      </c>
      <c r="G1495" s="74" t="s">
        <v>1267</v>
      </c>
    </row>
    <row r="1496" spans="1:7" x14ac:dyDescent="0.2">
      <c r="A1496" s="40">
        <v>6300</v>
      </c>
      <c r="B1496" s="39" t="s">
        <v>948</v>
      </c>
      <c r="C1496" s="40" t="s">
        <v>871</v>
      </c>
      <c r="D1496" s="74" t="s">
        <v>1269</v>
      </c>
      <c r="E1496" s="74" t="s">
        <v>1266</v>
      </c>
      <c r="F1496" s="74" t="s">
        <v>1268</v>
      </c>
      <c r="G1496" s="74" t="s">
        <v>1268</v>
      </c>
    </row>
    <row r="1497" spans="1:7" x14ac:dyDescent="0.2">
      <c r="A1497" s="40">
        <v>6302</v>
      </c>
      <c r="B1497" s="39" t="s">
        <v>948</v>
      </c>
      <c r="C1497" s="40" t="s">
        <v>871</v>
      </c>
      <c r="D1497" s="74" t="s">
        <v>1271</v>
      </c>
      <c r="E1497" s="74" t="s">
        <v>1266</v>
      </c>
      <c r="F1497" s="74" t="s">
        <v>1267</v>
      </c>
      <c r="G1497" s="74" t="s">
        <v>1268</v>
      </c>
    </row>
    <row r="1498" spans="1:7" x14ac:dyDescent="0.2">
      <c r="A1498" s="40">
        <v>6305</v>
      </c>
      <c r="B1498" s="39" t="s">
        <v>949</v>
      </c>
      <c r="C1498" s="40" t="s">
        <v>871</v>
      </c>
      <c r="D1498" s="74" t="s">
        <v>1269</v>
      </c>
      <c r="E1498" s="74" t="s">
        <v>1266</v>
      </c>
      <c r="F1498" s="74" t="s">
        <v>1268</v>
      </c>
      <c r="G1498" s="74" t="s">
        <v>1267</v>
      </c>
    </row>
    <row r="1499" spans="1:7" x14ac:dyDescent="0.2">
      <c r="A1499" s="40">
        <v>6306</v>
      </c>
      <c r="B1499" s="39" t="s">
        <v>950</v>
      </c>
      <c r="C1499" s="40" t="s">
        <v>871</v>
      </c>
      <c r="D1499" s="74" t="s">
        <v>1269</v>
      </c>
      <c r="E1499" s="74" t="s">
        <v>1266</v>
      </c>
      <c r="F1499" s="74" t="s">
        <v>1268</v>
      </c>
      <c r="G1499" s="74" t="s">
        <v>1268</v>
      </c>
    </row>
    <row r="1500" spans="1:7" x14ac:dyDescent="0.2">
      <c r="A1500" s="40">
        <v>6311</v>
      </c>
      <c r="B1500" s="39" t="s">
        <v>951</v>
      </c>
      <c r="C1500" s="40" t="s">
        <v>871</v>
      </c>
      <c r="D1500" s="74" t="s">
        <v>1269</v>
      </c>
      <c r="E1500" s="74" t="s">
        <v>1266</v>
      </c>
      <c r="F1500" s="74" t="s">
        <v>1268</v>
      </c>
      <c r="G1500" s="74" t="s">
        <v>1268</v>
      </c>
    </row>
    <row r="1501" spans="1:7" x14ac:dyDescent="0.2">
      <c r="A1501" s="40">
        <v>6313</v>
      </c>
      <c r="B1501" s="39" t="s">
        <v>952</v>
      </c>
      <c r="C1501" s="40" t="s">
        <v>871</v>
      </c>
      <c r="D1501" s="74" t="s">
        <v>1269</v>
      </c>
      <c r="E1501" s="74" t="s">
        <v>1266</v>
      </c>
      <c r="F1501" s="74" t="s">
        <v>1268</v>
      </c>
      <c r="G1501" s="74" t="s">
        <v>1267</v>
      </c>
    </row>
    <row r="1502" spans="1:7" x14ac:dyDescent="0.2">
      <c r="A1502" s="40">
        <v>6314</v>
      </c>
      <c r="B1502" s="39" t="s">
        <v>953</v>
      </c>
      <c r="C1502" s="40" t="s">
        <v>871</v>
      </c>
      <c r="D1502" s="74" t="s">
        <v>1269</v>
      </c>
      <c r="E1502" s="74" t="s">
        <v>1266</v>
      </c>
      <c r="F1502" s="74" t="s">
        <v>1268</v>
      </c>
      <c r="G1502" s="74" t="s">
        <v>1267</v>
      </c>
    </row>
    <row r="1503" spans="1:7" x14ac:dyDescent="0.2">
      <c r="A1503" s="40">
        <v>6320</v>
      </c>
      <c r="B1503" s="39" t="s">
        <v>954</v>
      </c>
      <c r="C1503" s="40" t="s">
        <v>871</v>
      </c>
      <c r="D1503" s="74" t="s">
        <v>1269</v>
      </c>
      <c r="E1503" s="74" t="s">
        <v>1266</v>
      </c>
      <c r="F1503" s="74" t="s">
        <v>1268</v>
      </c>
      <c r="G1503" s="74" t="s">
        <v>1267</v>
      </c>
    </row>
    <row r="1504" spans="1:7" x14ac:dyDescent="0.2">
      <c r="A1504" s="40">
        <v>6322</v>
      </c>
      <c r="B1504" s="39" t="s">
        <v>955</v>
      </c>
      <c r="C1504" s="40" t="s">
        <v>871</v>
      </c>
      <c r="D1504" s="74" t="s">
        <v>1269</v>
      </c>
      <c r="E1504" s="74" t="s">
        <v>1266</v>
      </c>
      <c r="F1504" s="74" t="s">
        <v>1268</v>
      </c>
      <c r="G1504" s="74" t="s">
        <v>1268</v>
      </c>
    </row>
    <row r="1505" spans="1:7" x14ac:dyDescent="0.2">
      <c r="A1505" s="40">
        <v>6323</v>
      </c>
      <c r="B1505" s="39" t="s">
        <v>956</v>
      </c>
      <c r="C1505" s="40" t="s">
        <v>871</v>
      </c>
      <c r="D1505" s="74" t="s">
        <v>1269</v>
      </c>
      <c r="E1505" s="74" t="s">
        <v>1266</v>
      </c>
      <c r="F1505" s="74" t="s">
        <v>1268</v>
      </c>
      <c r="G1505" s="74" t="s">
        <v>1268</v>
      </c>
    </row>
    <row r="1506" spans="1:7" x14ac:dyDescent="0.2">
      <c r="A1506" s="40">
        <v>6324</v>
      </c>
      <c r="B1506" s="39" t="s">
        <v>957</v>
      </c>
      <c r="C1506" s="40" t="s">
        <v>871</v>
      </c>
      <c r="D1506" s="74" t="s">
        <v>1269</v>
      </c>
      <c r="E1506" s="74" t="s">
        <v>1266</v>
      </c>
      <c r="F1506" s="74" t="s">
        <v>1268</v>
      </c>
      <c r="G1506" s="74" t="s">
        <v>1267</v>
      </c>
    </row>
    <row r="1507" spans="1:7" x14ac:dyDescent="0.2">
      <c r="A1507" s="40">
        <v>6330</v>
      </c>
      <c r="B1507" s="39" t="s">
        <v>958</v>
      </c>
      <c r="C1507" s="40" t="s">
        <v>871</v>
      </c>
      <c r="D1507" s="74" t="s">
        <v>1269</v>
      </c>
      <c r="E1507" s="74" t="s">
        <v>1266</v>
      </c>
      <c r="F1507" s="74" t="s">
        <v>1268</v>
      </c>
      <c r="G1507" s="74" t="s">
        <v>1268</v>
      </c>
    </row>
    <row r="1508" spans="1:7" x14ac:dyDescent="0.2">
      <c r="A1508" s="40">
        <v>6332</v>
      </c>
      <c r="B1508" s="39" t="s">
        <v>958</v>
      </c>
      <c r="C1508" s="40" t="s">
        <v>871</v>
      </c>
      <c r="D1508" s="74" t="s">
        <v>1271</v>
      </c>
      <c r="E1508" s="74" t="s">
        <v>1266</v>
      </c>
      <c r="F1508" s="74" t="s">
        <v>1267</v>
      </c>
      <c r="G1508" s="74" t="s">
        <v>1268</v>
      </c>
    </row>
    <row r="1509" spans="1:7" x14ac:dyDescent="0.2">
      <c r="A1509" s="40">
        <v>6333</v>
      </c>
      <c r="B1509" s="39" t="s">
        <v>958</v>
      </c>
      <c r="C1509" s="40" t="s">
        <v>871</v>
      </c>
      <c r="D1509" s="74" t="s">
        <v>1271</v>
      </c>
      <c r="E1509" s="74" t="s">
        <v>1266</v>
      </c>
      <c r="F1509" s="74" t="s">
        <v>1267</v>
      </c>
      <c r="G1509" s="74" t="s">
        <v>1268</v>
      </c>
    </row>
    <row r="1510" spans="1:7" x14ac:dyDescent="0.2">
      <c r="A1510" s="40">
        <v>6334</v>
      </c>
      <c r="B1510" s="39" t="s">
        <v>959</v>
      </c>
      <c r="C1510" s="40" t="s">
        <v>871</v>
      </c>
      <c r="D1510" s="74" t="s">
        <v>1269</v>
      </c>
      <c r="E1510" s="74" t="s">
        <v>1266</v>
      </c>
      <c r="F1510" s="74" t="s">
        <v>1268</v>
      </c>
      <c r="G1510" s="74" t="s">
        <v>1267</v>
      </c>
    </row>
    <row r="1511" spans="1:7" x14ac:dyDescent="0.2">
      <c r="A1511" s="40">
        <v>6335</v>
      </c>
      <c r="B1511" s="39" t="s">
        <v>960</v>
      </c>
      <c r="C1511" s="40" t="s">
        <v>871</v>
      </c>
      <c r="D1511" s="74" t="s">
        <v>1269</v>
      </c>
      <c r="E1511" s="74" t="s">
        <v>1266</v>
      </c>
      <c r="F1511" s="74" t="s">
        <v>1268</v>
      </c>
      <c r="G1511" s="74" t="s">
        <v>1268</v>
      </c>
    </row>
    <row r="1512" spans="1:7" x14ac:dyDescent="0.2">
      <c r="A1512" s="40">
        <v>6336</v>
      </c>
      <c r="B1512" s="39" t="s">
        <v>961</v>
      </c>
      <c r="C1512" s="40" t="s">
        <v>871</v>
      </c>
      <c r="D1512" s="74" t="s">
        <v>1269</v>
      </c>
      <c r="E1512" s="74" t="s">
        <v>1266</v>
      </c>
      <c r="F1512" s="74" t="s">
        <v>1268</v>
      </c>
      <c r="G1512" s="74" t="s">
        <v>1267</v>
      </c>
    </row>
    <row r="1513" spans="1:7" x14ac:dyDescent="0.2">
      <c r="A1513" s="40">
        <v>6341</v>
      </c>
      <c r="B1513" s="39" t="s">
        <v>962</v>
      </c>
      <c r="C1513" s="40" t="s">
        <v>871</v>
      </c>
      <c r="D1513" s="74" t="s">
        <v>1269</v>
      </c>
      <c r="E1513" s="74" t="s">
        <v>1266</v>
      </c>
      <c r="F1513" s="74" t="s">
        <v>1268</v>
      </c>
      <c r="G1513" s="74" t="s">
        <v>1268</v>
      </c>
    </row>
    <row r="1514" spans="1:7" x14ac:dyDescent="0.2">
      <c r="A1514" s="40">
        <v>6342</v>
      </c>
      <c r="B1514" s="39" t="s">
        <v>963</v>
      </c>
      <c r="C1514" s="40" t="s">
        <v>871</v>
      </c>
      <c r="D1514" s="74" t="s">
        <v>1269</v>
      </c>
      <c r="E1514" s="74" t="s">
        <v>1266</v>
      </c>
      <c r="F1514" s="74" t="s">
        <v>1268</v>
      </c>
      <c r="G1514" s="74" t="s">
        <v>1268</v>
      </c>
    </row>
    <row r="1515" spans="1:7" x14ac:dyDescent="0.2">
      <c r="A1515" s="40">
        <v>6343</v>
      </c>
      <c r="B1515" s="39" t="s">
        <v>964</v>
      </c>
      <c r="C1515" s="40" t="s">
        <v>871</v>
      </c>
      <c r="D1515" s="74" t="s">
        <v>1269</v>
      </c>
      <c r="E1515" s="74" t="s">
        <v>1266</v>
      </c>
      <c r="F1515" s="74" t="s">
        <v>1268</v>
      </c>
      <c r="G1515" s="74" t="s">
        <v>1267</v>
      </c>
    </row>
    <row r="1516" spans="1:7" x14ac:dyDescent="0.2">
      <c r="A1516" s="40">
        <v>6344</v>
      </c>
      <c r="B1516" s="39" t="s">
        <v>965</v>
      </c>
      <c r="C1516" s="40" t="s">
        <v>871</v>
      </c>
      <c r="D1516" s="74" t="s">
        <v>1269</v>
      </c>
      <c r="E1516" s="74" t="s">
        <v>1266</v>
      </c>
      <c r="F1516" s="74" t="s">
        <v>1268</v>
      </c>
      <c r="G1516" s="74" t="s">
        <v>1268</v>
      </c>
    </row>
    <row r="1517" spans="1:7" x14ac:dyDescent="0.2">
      <c r="A1517" s="40">
        <v>6345</v>
      </c>
      <c r="B1517" s="39" t="s">
        <v>966</v>
      </c>
      <c r="C1517" s="40" t="s">
        <v>871</v>
      </c>
      <c r="D1517" s="74" t="s">
        <v>1269</v>
      </c>
      <c r="E1517" s="74" t="s">
        <v>1266</v>
      </c>
      <c r="F1517" s="74" t="s">
        <v>1268</v>
      </c>
      <c r="G1517" s="74" t="s">
        <v>1268</v>
      </c>
    </row>
    <row r="1518" spans="1:7" x14ac:dyDescent="0.2">
      <c r="A1518" s="40">
        <v>6351</v>
      </c>
      <c r="B1518" s="39" t="s">
        <v>967</v>
      </c>
      <c r="C1518" s="40" t="s">
        <v>871</v>
      </c>
      <c r="D1518" s="74" t="s">
        <v>1269</v>
      </c>
      <c r="E1518" s="74" t="s">
        <v>1266</v>
      </c>
      <c r="F1518" s="74" t="s">
        <v>1268</v>
      </c>
      <c r="G1518" s="74" t="s">
        <v>1268</v>
      </c>
    </row>
    <row r="1519" spans="1:7" x14ac:dyDescent="0.2">
      <c r="A1519" s="40">
        <v>6352</v>
      </c>
      <c r="B1519" s="39" t="s">
        <v>968</v>
      </c>
      <c r="C1519" s="40" t="s">
        <v>871</v>
      </c>
      <c r="D1519" s="74" t="s">
        <v>1269</v>
      </c>
      <c r="E1519" s="74" t="s">
        <v>1266</v>
      </c>
      <c r="F1519" s="74" t="s">
        <v>1268</v>
      </c>
      <c r="G1519" s="74" t="s">
        <v>1268</v>
      </c>
    </row>
    <row r="1520" spans="1:7" x14ac:dyDescent="0.2">
      <c r="A1520" s="40">
        <v>6353</v>
      </c>
      <c r="B1520" s="39" t="s">
        <v>969</v>
      </c>
      <c r="C1520" s="40" t="s">
        <v>871</v>
      </c>
      <c r="D1520" s="74" t="s">
        <v>1269</v>
      </c>
      <c r="E1520" s="74" t="s">
        <v>1266</v>
      </c>
      <c r="F1520" s="74" t="s">
        <v>1268</v>
      </c>
      <c r="G1520" s="74" t="s">
        <v>1268</v>
      </c>
    </row>
    <row r="1521" spans="1:7" x14ac:dyDescent="0.2">
      <c r="A1521" s="40">
        <v>6361</v>
      </c>
      <c r="B1521" s="39" t="s">
        <v>970</v>
      </c>
      <c r="C1521" s="40" t="s">
        <v>871</v>
      </c>
      <c r="D1521" s="74" t="s">
        <v>1269</v>
      </c>
      <c r="E1521" s="74" t="s">
        <v>1266</v>
      </c>
      <c r="F1521" s="74" t="s">
        <v>1268</v>
      </c>
      <c r="G1521" s="74" t="s">
        <v>1268</v>
      </c>
    </row>
    <row r="1522" spans="1:7" x14ac:dyDescent="0.2">
      <c r="A1522" s="40">
        <v>6363</v>
      </c>
      <c r="B1522" s="39" t="s">
        <v>971</v>
      </c>
      <c r="C1522" s="40" t="s">
        <v>871</v>
      </c>
      <c r="D1522" s="74" t="s">
        <v>1269</v>
      </c>
      <c r="E1522" s="74" t="s">
        <v>1266</v>
      </c>
      <c r="F1522" s="74" t="s">
        <v>1268</v>
      </c>
      <c r="G1522" s="74" t="s">
        <v>1268</v>
      </c>
    </row>
    <row r="1523" spans="1:7" x14ac:dyDescent="0.2">
      <c r="A1523" s="40">
        <v>6364</v>
      </c>
      <c r="B1523" s="39" t="s">
        <v>972</v>
      </c>
      <c r="C1523" s="40" t="s">
        <v>871</v>
      </c>
      <c r="D1523" s="74" t="s">
        <v>1269</v>
      </c>
      <c r="E1523" s="74" t="s">
        <v>1266</v>
      </c>
      <c r="F1523" s="74" t="s">
        <v>1268</v>
      </c>
      <c r="G1523" s="74" t="s">
        <v>1268</v>
      </c>
    </row>
    <row r="1524" spans="1:7" x14ac:dyDescent="0.2">
      <c r="A1524" s="40">
        <v>6365</v>
      </c>
      <c r="B1524" s="39" t="s">
        <v>973</v>
      </c>
      <c r="C1524" s="40" t="s">
        <v>871</v>
      </c>
      <c r="D1524" s="74" t="s">
        <v>1269</v>
      </c>
      <c r="E1524" s="74" t="s">
        <v>1266</v>
      </c>
      <c r="F1524" s="74" t="s">
        <v>1268</v>
      </c>
      <c r="G1524" s="74" t="s">
        <v>1268</v>
      </c>
    </row>
    <row r="1525" spans="1:7" x14ac:dyDescent="0.2">
      <c r="A1525" s="40">
        <v>6370</v>
      </c>
      <c r="B1525" s="39" t="s">
        <v>974</v>
      </c>
      <c r="C1525" s="40" t="s">
        <v>871</v>
      </c>
      <c r="D1525" s="74" t="s">
        <v>1269</v>
      </c>
      <c r="E1525" s="74" t="s">
        <v>1266</v>
      </c>
      <c r="F1525" s="74" t="s">
        <v>1268</v>
      </c>
      <c r="G1525" s="74" t="s">
        <v>1268</v>
      </c>
    </row>
    <row r="1526" spans="1:7" x14ac:dyDescent="0.2">
      <c r="A1526" s="40">
        <v>6372</v>
      </c>
      <c r="B1526" s="39" t="s">
        <v>975</v>
      </c>
      <c r="C1526" s="40" t="s">
        <v>871</v>
      </c>
      <c r="D1526" s="74" t="s">
        <v>1269</v>
      </c>
      <c r="E1526" s="74" t="s">
        <v>1266</v>
      </c>
      <c r="F1526" s="74" t="s">
        <v>1268</v>
      </c>
      <c r="G1526" s="74" t="s">
        <v>1268</v>
      </c>
    </row>
    <row r="1527" spans="1:7" x14ac:dyDescent="0.2">
      <c r="A1527" s="40">
        <v>6373</v>
      </c>
      <c r="B1527" s="39" t="s">
        <v>976</v>
      </c>
      <c r="C1527" s="40" t="s">
        <v>871</v>
      </c>
      <c r="D1527" s="74" t="s">
        <v>1269</v>
      </c>
      <c r="E1527" s="74" t="s">
        <v>1266</v>
      </c>
      <c r="F1527" s="74" t="s">
        <v>1268</v>
      </c>
      <c r="G1527" s="74" t="s">
        <v>1267</v>
      </c>
    </row>
    <row r="1528" spans="1:7" x14ac:dyDescent="0.2">
      <c r="A1528" s="40">
        <v>6380</v>
      </c>
      <c r="B1528" s="39" t="s">
        <v>977</v>
      </c>
      <c r="C1528" s="40" t="s">
        <v>871</v>
      </c>
      <c r="D1528" s="74" t="s">
        <v>1269</v>
      </c>
      <c r="E1528" s="74" t="s">
        <v>1266</v>
      </c>
      <c r="F1528" s="74" t="s">
        <v>1268</v>
      </c>
      <c r="G1528" s="74" t="s">
        <v>1268</v>
      </c>
    </row>
    <row r="1529" spans="1:7" x14ac:dyDescent="0.2">
      <c r="A1529" s="40">
        <v>6382</v>
      </c>
      <c r="B1529" s="39" t="s">
        <v>978</v>
      </c>
      <c r="C1529" s="40" t="s">
        <v>871</v>
      </c>
      <c r="D1529" s="74" t="s">
        <v>1269</v>
      </c>
      <c r="E1529" s="74" t="s">
        <v>1266</v>
      </c>
      <c r="F1529" s="74" t="s">
        <v>1268</v>
      </c>
      <c r="G1529" s="74" t="s">
        <v>1267</v>
      </c>
    </row>
    <row r="1530" spans="1:7" x14ac:dyDescent="0.2">
      <c r="A1530" s="40">
        <v>6383</v>
      </c>
      <c r="B1530" s="39" t="s">
        <v>979</v>
      </c>
      <c r="C1530" s="40" t="s">
        <v>871</v>
      </c>
      <c r="D1530" s="74" t="s">
        <v>1269</v>
      </c>
      <c r="E1530" s="74" t="s">
        <v>1266</v>
      </c>
      <c r="F1530" s="74" t="s">
        <v>1268</v>
      </c>
      <c r="G1530" s="74" t="s">
        <v>1268</v>
      </c>
    </row>
    <row r="1531" spans="1:7" x14ac:dyDescent="0.2">
      <c r="A1531" s="40">
        <v>6384</v>
      </c>
      <c r="B1531" s="39" t="s">
        <v>980</v>
      </c>
      <c r="C1531" s="40" t="s">
        <v>871</v>
      </c>
      <c r="D1531" s="74" t="s">
        <v>1269</v>
      </c>
      <c r="E1531" s="74" t="s">
        <v>1266</v>
      </c>
      <c r="F1531" s="74" t="s">
        <v>1268</v>
      </c>
      <c r="G1531" s="74" t="s">
        <v>1268</v>
      </c>
    </row>
    <row r="1532" spans="1:7" x14ac:dyDescent="0.2">
      <c r="A1532" s="40">
        <v>6385</v>
      </c>
      <c r="B1532" s="39" t="s">
        <v>981</v>
      </c>
      <c r="C1532" s="40" t="s">
        <v>871</v>
      </c>
      <c r="D1532" s="74" t="s">
        <v>1269</v>
      </c>
      <c r="E1532" s="74" t="s">
        <v>1266</v>
      </c>
      <c r="F1532" s="74" t="s">
        <v>1268</v>
      </c>
      <c r="G1532" s="74" t="s">
        <v>1267</v>
      </c>
    </row>
    <row r="1533" spans="1:7" x14ac:dyDescent="0.2">
      <c r="A1533" s="40">
        <v>6391</v>
      </c>
      <c r="B1533" s="39" t="s">
        <v>982</v>
      </c>
      <c r="C1533" s="40" t="s">
        <v>871</v>
      </c>
      <c r="D1533" s="74" t="s">
        <v>1269</v>
      </c>
      <c r="E1533" s="74" t="s">
        <v>1266</v>
      </c>
      <c r="F1533" s="74" t="s">
        <v>1268</v>
      </c>
      <c r="G1533" s="74" t="s">
        <v>1268</v>
      </c>
    </row>
    <row r="1534" spans="1:7" x14ac:dyDescent="0.2">
      <c r="A1534" s="40">
        <v>6392</v>
      </c>
      <c r="B1534" s="39" t="s">
        <v>983</v>
      </c>
      <c r="C1534" s="40" t="s">
        <v>871</v>
      </c>
      <c r="D1534" s="74" t="s">
        <v>1269</v>
      </c>
      <c r="E1534" s="74" t="s">
        <v>1266</v>
      </c>
      <c r="F1534" s="74" t="s">
        <v>1268</v>
      </c>
      <c r="G1534" s="74" t="s">
        <v>1267</v>
      </c>
    </row>
    <row r="1535" spans="1:7" x14ac:dyDescent="0.2">
      <c r="A1535" s="40">
        <v>6393</v>
      </c>
      <c r="B1535" s="39" t="s">
        <v>984</v>
      </c>
      <c r="C1535" s="40" t="s">
        <v>871</v>
      </c>
      <c r="D1535" s="74" t="s">
        <v>1269</v>
      </c>
      <c r="E1535" s="74" t="s">
        <v>1266</v>
      </c>
      <c r="F1535" s="74" t="s">
        <v>1268</v>
      </c>
      <c r="G1535" s="74" t="s">
        <v>1268</v>
      </c>
    </row>
    <row r="1536" spans="1:7" x14ac:dyDescent="0.2">
      <c r="A1536" s="40">
        <v>6395</v>
      </c>
      <c r="B1536" s="39" t="s">
        <v>985</v>
      </c>
      <c r="C1536" s="40" t="s">
        <v>871</v>
      </c>
      <c r="D1536" s="74" t="s">
        <v>1269</v>
      </c>
      <c r="E1536" s="74" t="s">
        <v>1266</v>
      </c>
      <c r="F1536" s="74" t="s">
        <v>1268</v>
      </c>
      <c r="G1536" s="74" t="s">
        <v>1267</v>
      </c>
    </row>
    <row r="1537" spans="1:7" x14ac:dyDescent="0.2">
      <c r="A1537" s="40">
        <v>6401</v>
      </c>
      <c r="B1537" s="39" t="s">
        <v>986</v>
      </c>
      <c r="C1537" s="40" t="s">
        <v>871</v>
      </c>
      <c r="D1537" s="74" t="s">
        <v>1269</v>
      </c>
      <c r="E1537" s="74" t="s">
        <v>1266</v>
      </c>
      <c r="F1537" s="74" t="s">
        <v>1268</v>
      </c>
      <c r="G1537" s="74" t="s">
        <v>1268</v>
      </c>
    </row>
    <row r="1538" spans="1:7" x14ac:dyDescent="0.2">
      <c r="A1538" s="40">
        <v>6402</v>
      </c>
      <c r="B1538" s="39" t="s">
        <v>987</v>
      </c>
      <c r="C1538" s="40" t="s">
        <v>871</v>
      </c>
      <c r="D1538" s="74" t="s">
        <v>1269</v>
      </c>
      <c r="E1538" s="74" t="s">
        <v>1266</v>
      </c>
      <c r="F1538" s="74" t="s">
        <v>1268</v>
      </c>
      <c r="G1538" s="74" t="s">
        <v>1267</v>
      </c>
    </row>
    <row r="1539" spans="1:7" x14ac:dyDescent="0.2">
      <c r="A1539" s="40">
        <v>6403</v>
      </c>
      <c r="B1539" s="39" t="s">
        <v>988</v>
      </c>
      <c r="C1539" s="40" t="s">
        <v>871</v>
      </c>
      <c r="D1539" s="74" t="s">
        <v>1269</v>
      </c>
      <c r="E1539" s="74" t="s">
        <v>1266</v>
      </c>
      <c r="F1539" s="74" t="s">
        <v>1268</v>
      </c>
      <c r="G1539" s="74" t="s">
        <v>1267</v>
      </c>
    </row>
    <row r="1540" spans="1:7" x14ac:dyDescent="0.2">
      <c r="A1540" s="40">
        <v>6404</v>
      </c>
      <c r="B1540" s="39" t="s">
        <v>989</v>
      </c>
      <c r="C1540" s="40" t="s">
        <v>871</v>
      </c>
      <c r="D1540" s="74" t="s">
        <v>1269</v>
      </c>
      <c r="E1540" s="74" t="s">
        <v>1266</v>
      </c>
      <c r="F1540" s="74" t="s">
        <v>1268</v>
      </c>
      <c r="G1540" s="74" t="s">
        <v>1267</v>
      </c>
    </row>
    <row r="1541" spans="1:7" x14ac:dyDescent="0.2">
      <c r="A1541" s="40">
        <v>6405</v>
      </c>
      <c r="B1541" s="39" t="s">
        <v>990</v>
      </c>
      <c r="C1541" s="40" t="s">
        <v>871</v>
      </c>
      <c r="D1541" s="74" t="s">
        <v>1269</v>
      </c>
      <c r="E1541" s="74" t="s">
        <v>1266</v>
      </c>
      <c r="F1541" s="74" t="s">
        <v>1268</v>
      </c>
      <c r="G1541" s="74" t="s">
        <v>1267</v>
      </c>
    </row>
    <row r="1542" spans="1:7" x14ac:dyDescent="0.2">
      <c r="A1542" s="40">
        <v>6406</v>
      </c>
      <c r="B1542" s="39" t="s">
        <v>991</v>
      </c>
      <c r="C1542" s="40" t="s">
        <v>871</v>
      </c>
      <c r="D1542" s="74" t="s">
        <v>1269</v>
      </c>
      <c r="E1542" s="74" t="s">
        <v>1266</v>
      </c>
      <c r="F1542" s="74" t="s">
        <v>1268</v>
      </c>
      <c r="G1542" s="74" t="s">
        <v>1267</v>
      </c>
    </row>
    <row r="1543" spans="1:7" x14ac:dyDescent="0.2">
      <c r="A1543" s="40">
        <v>6408</v>
      </c>
      <c r="B1543" s="39" t="s">
        <v>992</v>
      </c>
      <c r="C1543" s="40" t="s">
        <v>871</v>
      </c>
      <c r="D1543" s="74" t="s">
        <v>1269</v>
      </c>
      <c r="E1543" s="74" t="s">
        <v>1266</v>
      </c>
      <c r="F1543" s="74" t="s">
        <v>1268</v>
      </c>
      <c r="G1543" s="74" t="s">
        <v>1267</v>
      </c>
    </row>
    <row r="1544" spans="1:7" x14ac:dyDescent="0.2">
      <c r="A1544" s="40">
        <v>6410</v>
      </c>
      <c r="B1544" s="39" t="s">
        <v>993</v>
      </c>
      <c r="C1544" s="40" t="s">
        <v>871</v>
      </c>
      <c r="D1544" s="74" t="s">
        <v>1269</v>
      </c>
      <c r="E1544" s="74" t="s">
        <v>1266</v>
      </c>
      <c r="F1544" s="74" t="s">
        <v>1268</v>
      </c>
      <c r="G1544" s="74" t="s">
        <v>1268</v>
      </c>
    </row>
    <row r="1545" spans="1:7" x14ac:dyDescent="0.2">
      <c r="A1545" s="40">
        <v>6412</v>
      </c>
      <c r="B1545" s="39" t="s">
        <v>994</v>
      </c>
      <c r="C1545" s="40" t="s">
        <v>871</v>
      </c>
      <c r="D1545" s="74" t="s">
        <v>1271</v>
      </c>
      <c r="E1545" s="74" t="s">
        <v>1266</v>
      </c>
      <c r="F1545" s="74" t="s">
        <v>1267</v>
      </c>
      <c r="G1545" s="74" t="s">
        <v>1268</v>
      </c>
    </row>
    <row r="1546" spans="1:7" x14ac:dyDescent="0.2">
      <c r="A1546" s="40">
        <v>6414</v>
      </c>
      <c r="B1546" s="39" t="s">
        <v>995</v>
      </c>
      <c r="C1546" s="40" t="s">
        <v>871</v>
      </c>
      <c r="D1546" s="74" t="s">
        <v>1269</v>
      </c>
      <c r="E1546" s="74" t="s">
        <v>1266</v>
      </c>
      <c r="F1546" s="74" t="s">
        <v>1268</v>
      </c>
      <c r="G1546" s="74" t="s">
        <v>1268</v>
      </c>
    </row>
    <row r="1547" spans="1:7" x14ac:dyDescent="0.2">
      <c r="A1547" s="40">
        <v>6416</v>
      </c>
      <c r="B1547" s="39" t="s">
        <v>996</v>
      </c>
      <c r="C1547" s="40" t="s">
        <v>871</v>
      </c>
      <c r="D1547" s="74" t="s">
        <v>1269</v>
      </c>
      <c r="E1547" s="74" t="s">
        <v>1266</v>
      </c>
      <c r="F1547" s="74" t="s">
        <v>1268</v>
      </c>
      <c r="G1547" s="74" t="s">
        <v>1267</v>
      </c>
    </row>
    <row r="1548" spans="1:7" x14ac:dyDescent="0.2">
      <c r="A1548" s="40">
        <v>6421</v>
      </c>
      <c r="B1548" s="39" t="s">
        <v>997</v>
      </c>
      <c r="C1548" s="40" t="s">
        <v>871</v>
      </c>
      <c r="D1548" s="74" t="s">
        <v>1269</v>
      </c>
      <c r="E1548" s="74" t="s">
        <v>1266</v>
      </c>
      <c r="F1548" s="74" t="s">
        <v>1268</v>
      </c>
      <c r="G1548" s="74" t="s">
        <v>1267</v>
      </c>
    </row>
    <row r="1549" spans="1:7" x14ac:dyDescent="0.2">
      <c r="A1549" s="40">
        <v>6422</v>
      </c>
      <c r="B1549" s="39" t="s">
        <v>998</v>
      </c>
      <c r="C1549" s="40" t="s">
        <v>871</v>
      </c>
      <c r="D1549" s="74" t="s">
        <v>1269</v>
      </c>
      <c r="E1549" s="74" t="s">
        <v>1266</v>
      </c>
      <c r="F1549" s="74" t="s">
        <v>1268</v>
      </c>
      <c r="G1549" s="74" t="s">
        <v>1268</v>
      </c>
    </row>
    <row r="1550" spans="1:7" x14ac:dyDescent="0.2">
      <c r="A1550" s="40">
        <v>6423</v>
      </c>
      <c r="B1550" s="39" t="s">
        <v>999</v>
      </c>
      <c r="C1550" s="40" t="s">
        <v>871</v>
      </c>
      <c r="D1550" s="74" t="s">
        <v>1269</v>
      </c>
      <c r="E1550" s="74" t="s">
        <v>1266</v>
      </c>
      <c r="F1550" s="74" t="s">
        <v>1268</v>
      </c>
      <c r="G1550" s="74" t="s">
        <v>1267</v>
      </c>
    </row>
    <row r="1551" spans="1:7" x14ac:dyDescent="0.2">
      <c r="A1551" s="40">
        <v>6424</v>
      </c>
      <c r="B1551" s="39" t="s">
        <v>1000</v>
      </c>
      <c r="C1551" s="40" t="s">
        <v>871</v>
      </c>
      <c r="D1551" s="74" t="s">
        <v>1269</v>
      </c>
      <c r="E1551" s="74" t="s">
        <v>1266</v>
      </c>
      <c r="F1551" s="74" t="s">
        <v>1268</v>
      </c>
      <c r="G1551" s="74" t="s">
        <v>1268</v>
      </c>
    </row>
    <row r="1552" spans="1:7" x14ac:dyDescent="0.2">
      <c r="A1552" s="40">
        <v>6425</v>
      </c>
      <c r="B1552" s="39" t="s">
        <v>1001</v>
      </c>
      <c r="C1552" s="40" t="s">
        <v>871</v>
      </c>
      <c r="D1552" s="74" t="s">
        <v>1269</v>
      </c>
      <c r="E1552" s="74" t="s">
        <v>1266</v>
      </c>
      <c r="F1552" s="74" t="s">
        <v>1268</v>
      </c>
      <c r="G1552" s="74" t="s">
        <v>1268</v>
      </c>
    </row>
    <row r="1553" spans="1:7" x14ac:dyDescent="0.2">
      <c r="A1553" s="40">
        <v>6426</v>
      </c>
      <c r="B1553" s="39" t="s">
        <v>1002</v>
      </c>
      <c r="C1553" s="40" t="s">
        <v>871</v>
      </c>
      <c r="D1553" s="74" t="s">
        <v>1269</v>
      </c>
      <c r="E1553" s="74" t="s">
        <v>1266</v>
      </c>
      <c r="F1553" s="74" t="s">
        <v>1268</v>
      </c>
      <c r="G1553" s="74" t="s">
        <v>1267</v>
      </c>
    </row>
    <row r="1554" spans="1:7" x14ac:dyDescent="0.2">
      <c r="A1554" s="40">
        <v>6430</v>
      </c>
      <c r="B1554" s="39" t="s">
        <v>1003</v>
      </c>
      <c r="C1554" s="40" t="s">
        <v>871</v>
      </c>
      <c r="D1554" s="74" t="s">
        <v>1269</v>
      </c>
      <c r="E1554" s="74" t="s">
        <v>1266</v>
      </c>
      <c r="F1554" s="74" t="s">
        <v>1268</v>
      </c>
      <c r="G1554" s="74" t="s">
        <v>1268</v>
      </c>
    </row>
    <row r="1555" spans="1:7" x14ac:dyDescent="0.2">
      <c r="A1555" s="40">
        <v>6432</v>
      </c>
      <c r="B1555" s="39" t="s">
        <v>1004</v>
      </c>
      <c r="C1555" s="40" t="s">
        <v>871</v>
      </c>
      <c r="D1555" s="74" t="s">
        <v>1269</v>
      </c>
      <c r="E1555" s="74" t="s">
        <v>1266</v>
      </c>
      <c r="F1555" s="74" t="s">
        <v>1268</v>
      </c>
      <c r="G1555" s="74" t="s">
        <v>1267</v>
      </c>
    </row>
    <row r="1556" spans="1:7" x14ac:dyDescent="0.2">
      <c r="A1556" s="40">
        <v>6433</v>
      </c>
      <c r="B1556" s="39" t="s">
        <v>1005</v>
      </c>
      <c r="C1556" s="40" t="s">
        <v>871</v>
      </c>
      <c r="D1556" s="74" t="s">
        <v>1269</v>
      </c>
      <c r="E1556" s="74" t="s">
        <v>1266</v>
      </c>
      <c r="F1556" s="74" t="s">
        <v>1268</v>
      </c>
      <c r="G1556" s="74" t="s">
        <v>1268</v>
      </c>
    </row>
    <row r="1557" spans="1:7" x14ac:dyDescent="0.2">
      <c r="A1557" s="40">
        <v>6441</v>
      </c>
      <c r="B1557" s="39" t="s">
        <v>1006</v>
      </c>
      <c r="C1557" s="40" t="s">
        <v>871</v>
      </c>
      <c r="D1557" s="74" t="s">
        <v>1269</v>
      </c>
      <c r="E1557" s="74" t="s">
        <v>1266</v>
      </c>
      <c r="F1557" s="74" t="s">
        <v>1268</v>
      </c>
      <c r="G1557" s="74" t="s">
        <v>1268</v>
      </c>
    </row>
    <row r="1558" spans="1:7" x14ac:dyDescent="0.2">
      <c r="A1558" s="40">
        <v>6444</v>
      </c>
      <c r="B1558" s="39" t="s">
        <v>1007</v>
      </c>
      <c r="C1558" s="40" t="s">
        <v>871</v>
      </c>
      <c r="D1558" s="74" t="s">
        <v>1269</v>
      </c>
      <c r="E1558" s="74" t="s">
        <v>1266</v>
      </c>
      <c r="F1558" s="74" t="s">
        <v>1268</v>
      </c>
      <c r="G1558" s="74" t="s">
        <v>1268</v>
      </c>
    </row>
    <row r="1559" spans="1:7" x14ac:dyDescent="0.2">
      <c r="A1559" s="40">
        <v>6450</v>
      </c>
      <c r="B1559" s="39" t="s">
        <v>1008</v>
      </c>
      <c r="C1559" s="40" t="s">
        <v>871</v>
      </c>
      <c r="D1559" s="74" t="s">
        <v>1269</v>
      </c>
      <c r="E1559" s="74" t="s">
        <v>1266</v>
      </c>
      <c r="F1559" s="74" t="s">
        <v>1268</v>
      </c>
      <c r="G1559" s="74" t="s">
        <v>1268</v>
      </c>
    </row>
    <row r="1560" spans="1:7" x14ac:dyDescent="0.2">
      <c r="A1560" s="40">
        <v>6452</v>
      </c>
      <c r="B1560" s="39" t="s">
        <v>1009</v>
      </c>
      <c r="C1560" s="40" t="s">
        <v>871</v>
      </c>
      <c r="D1560" s="74" t="s">
        <v>1269</v>
      </c>
      <c r="E1560" s="74" t="s">
        <v>1266</v>
      </c>
      <c r="F1560" s="74" t="s">
        <v>1268</v>
      </c>
      <c r="G1560" s="74" t="s">
        <v>1267</v>
      </c>
    </row>
    <row r="1561" spans="1:7" x14ac:dyDescent="0.2">
      <c r="A1561" s="40">
        <v>6456</v>
      </c>
      <c r="B1561" s="39" t="s">
        <v>1010</v>
      </c>
      <c r="C1561" s="40" t="s">
        <v>871</v>
      </c>
      <c r="D1561" s="74" t="s">
        <v>1269</v>
      </c>
      <c r="E1561" s="74" t="s">
        <v>1266</v>
      </c>
      <c r="F1561" s="74" t="s">
        <v>1268</v>
      </c>
      <c r="G1561" s="74" t="s">
        <v>1268</v>
      </c>
    </row>
    <row r="1562" spans="1:7" x14ac:dyDescent="0.2">
      <c r="A1562" s="40">
        <v>6458</v>
      </c>
      <c r="B1562" s="39" t="s">
        <v>1011</v>
      </c>
      <c r="C1562" s="40" t="s">
        <v>871</v>
      </c>
      <c r="D1562" s="74" t="s">
        <v>1269</v>
      </c>
      <c r="E1562" s="74" t="s">
        <v>1266</v>
      </c>
      <c r="F1562" s="74" t="s">
        <v>1268</v>
      </c>
      <c r="G1562" s="74" t="s">
        <v>1267</v>
      </c>
    </row>
    <row r="1563" spans="1:7" x14ac:dyDescent="0.2">
      <c r="A1563" s="40">
        <v>6460</v>
      </c>
      <c r="B1563" s="39" t="s">
        <v>186</v>
      </c>
      <c r="C1563" s="40" t="s">
        <v>871</v>
      </c>
      <c r="D1563" s="74" t="s">
        <v>1269</v>
      </c>
      <c r="E1563" s="74" t="s">
        <v>1266</v>
      </c>
      <c r="F1563" s="74" t="s">
        <v>1268</v>
      </c>
      <c r="G1563" s="74" t="s">
        <v>1268</v>
      </c>
    </row>
    <row r="1564" spans="1:7" x14ac:dyDescent="0.2">
      <c r="A1564" s="40">
        <v>6462</v>
      </c>
      <c r="B1564" s="39" t="s">
        <v>1012</v>
      </c>
      <c r="C1564" s="40" t="s">
        <v>871</v>
      </c>
      <c r="D1564" s="74" t="s">
        <v>1269</v>
      </c>
      <c r="E1564" s="74" t="s">
        <v>1266</v>
      </c>
      <c r="F1564" s="74" t="s">
        <v>1268</v>
      </c>
      <c r="G1564" s="74" t="s">
        <v>1267</v>
      </c>
    </row>
    <row r="1565" spans="1:7" x14ac:dyDescent="0.2">
      <c r="A1565" s="40">
        <v>6464</v>
      </c>
      <c r="B1565" s="39" t="s">
        <v>1013</v>
      </c>
      <c r="C1565" s="40" t="s">
        <v>871</v>
      </c>
      <c r="D1565" s="74" t="s">
        <v>1269</v>
      </c>
      <c r="E1565" s="74" t="s">
        <v>1266</v>
      </c>
      <c r="F1565" s="74" t="s">
        <v>1268</v>
      </c>
      <c r="G1565" s="74" t="s">
        <v>1267</v>
      </c>
    </row>
    <row r="1566" spans="1:7" x14ac:dyDescent="0.2">
      <c r="A1566" s="40">
        <v>6465</v>
      </c>
      <c r="B1566" s="39" t="s">
        <v>1014</v>
      </c>
      <c r="C1566" s="40" t="s">
        <v>871</v>
      </c>
      <c r="D1566" s="74" t="s">
        <v>1269</v>
      </c>
      <c r="E1566" s="74" t="s">
        <v>1266</v>
      </c>
      <c r="F1566" s="74" t="s">
        <v>1268</v>
      </c>
      <c r="G1566" s="74" t="s">
        <v>1268</v>
      </c>
    </row>
    <row r="1567" spans="1:7" x14ac:dyDescent="0.2">
      <c r="A1567" s="40">
        <v>6471</v>
      </c>
      <c r="B1567" s="39" t="s">
        <v>1015</v>
      </c>
      <c r="C1567" s="40" t="s">
        <v>871</v>
      </c>
      <c r="D1567" s="74" t="s">
        <v>1269</v>
      </c>
      <c r="E1567" s="74" t="s">
        <v>1266</v>
      </c>
      <c r="F1567" s="74" t="s">
        <v>1268</v>
      </c>
      <c r="G1567" s="74" t="s">
        <v>1268</v>
      </c>
    </row>
    <row r="1568" spans="1:7" x14ac:dyDescent="0.2">
      <c r="A1568" s="40">
        <v>6473</v>
      </c>
      <c r="B1568" s="39" t="s">
        <v>1016</v>
      </c>
      <c r="C1568" s="40" t="s">
        <v>871</v>
      </c>
      <c r="D1568" s="74" t="s">
        <v>1269</v>
      </c>
      <c r="E1568" s="74" t="s">
        <v>1266</v>
      </c>
      <c r="F1568" s="74" t="s">
        <v>1268</v>
      </c>
      <c r="G1568" s="74" t="s">
        <v>1268</v>
      </c>
    </row>
    <row r="1569" spans="1:7" x14ac:dyDescent="0.2">
      <c r="A1569" s="40">
        <v>6474</v>
      </c>
      <c r="B1569" s="39" t="s">
        <v>1017</v>
      </c>
      <c r="C1569" s="40" t="s">
        <v>871</v>
      </c>
      <c r="D1569" s="74" t="s">
        <v>1269</v>
      </c>
      <c r="E1569" s="74" t="s">
        <v>1266</v>
      </c>
      <c r="F1569" s="74" t="s">
        <v>1268</v>
      </c>
      <c r="G1569" s="74" t="s">
        <v>1267</v>
      </c>
    </row>
    <row r="1570" spans="1:7" x14ac:dyDescent="0.2">
      <c r="A1570" s="40">
        <v>6481</v>
      </c>
      <c r="B1570" s="39" t="s">
        <v>1018</v>
      </c>
      <c r="C1570" s="40" t="s">
        <v>871</v>
      </c>
      <c r="D1570" s="74" t="s">
        <v>1269</v>
      </c>
      <c r="E1570" s="74" t="s">
        <v>1266</v>
      </c>
      <c r="F1570" s="74" t="s">
        <v>1268</v>
      </c>
      <c r="G1570" s="74" t="s">
        <v>1268</v>
      </c>
    </row>
    <row r="1571" spans="1:7" x14ac:dyDescent="0.2">
      <c r="A1571" s="40">
        <v>6491</v>
      </c>
      <c r="B1571" s="39" t="s">
        <v>1019</v>
      </c>
      <c r="C1571" s="40" t="s">
        <v>871</v>
      </c>
      <c r="D1571" s="74" t="s">
        <v>1269</v>
      </c>
      <c r="E1571" s="74" t="s">
        <v>1266</v>
      </c>
      <c r="F1571" s="74" t="s">
        <v>1268</v>
      </c>
      <c r="G1571" s="74" t="s">
        <v>1267</v>
      </c>
    </row>
    <row r="1572" spans="1:7" x14ac:dyDescent="0.2">
      <c r="A1572" s="40">
        <v>6492</v>
      </c>
      <c r="B1572" s="39" t="s">
        <v>1020</v>
      </c>
      <c r="C1572" s="40" t="s">
        <v>871</v>
      </c>
      <c r="D1572" s="74" t="s">
        <v>1269</v>
      </c>
      <c r="E1572" s="74" t="s">
        <v>1266</v>
      </c>
      <c r="F1572" s="74" t="s">
        <v>1268</v>
      </c>
      <c r="G1572" s="74" t="s">
        <v>1267</v>
      </c>
    </row>
    <row r="1573" spans="1:7" x14ac:dyDescent="0.2">
      <c r="A1573" s="40">
        <v>6500</v>
      </c>
      <c r="B1573" s="39" t="s">
        <v>1021</v>
      </c>
      <c r="C1573" s="40" t="s">
        <v>871</v>
      </c>
      <c r="D1573" s="74" t="s">
        <v>1269</v>
      </c>
      <c r="E1573" s="74" t="s">
        <v>1266</v>
      </c>
      <c r="F1573" s="74" t="s">
        <v>1268</v>
      </c>
      <c r="G1573" s="74" t="s">
        <v>1268</v>
      </c>
    </row>
    <row r="1574" spans="1:7" x14ac:dyDescent="0.2">
      <c r="A1574" s="40">
        <v>6503</v>
      </c>
      <c r="B1574" s="39" t="s">
        <v>1022</v>
      </c>
      <c r="C1574" s="40" t="s">
        <v>871</v>
      </c>
      <c r="D1574" s="74" t="s">
        <v>1271</v>
      </c>
      <c r="E1574" s="74" t="s">
        <v>1266</v>
      </c>
      <c r="F1574" s="74" t="s">
        <v>1267</v>
      </c>
      <c r="G1574" s="74" t="s">
        <v>1268</v>
      </c>
    </row>
    <row r="1575" spans="1:7" x14ac:dyDescent="0.2">
      <c r="A1575" s="40">
        <v>6511</v>
      </c>
      <c r="B1575" s="39" t="s">
        <v>1023</v>
      </c>
      <c r="C1575" s="40" t="s">
        <v>871</v>
      </c>
      <c r="D1575" s="74" t="s">
        <v>1269</v>
      </c>
      <c r="E1575" s="74" t="s">
        <v>1266</v>
      </c>
      <c r="F1575" s="74" t="s">
        <v>1268</v>
      </c>
      <c r="G1575" s="74" t="s">
        <v>1268</v>
      </c>
    </row>
    <row r="1576" spans="1:7" x14ac:dyDescent="0.2">
      <c r="A1576" s="40">
        <v>6521</v>
      </c>
      <c r="B1576" s="39" t="s">
        <v>1024</v>
      </c>
      <c r="C1576" s="40" t="s">
        <v>871</v>
      </c>
      <c r="D1576" s="74" t="s">
        <v>1269</v>
      </c>
      <c r="E1576" s="74" t="s">
        <v>1266</v>
      </c>
      <c r="F1576" s="74" t="s">
        <v>1268</v>
      </c>
      <c r="G1576" s="74" t="s">
        <v>1267</v>
      </c>
    </row>
    <row r="1577" spans="1:7" x14ac:dyDescent="0.2">
      <c r="A1577" s="40">
        <v>6522</v>
      </c>
      <c r="B1577" s="39" t="s">
        <v>1025</v>
      </c>
      <c r="C1577" s="40" t="s">
        <v>871</v>
      </c>
      <c r="D1577" s="74" t="s">
        <v>1269</v>
      </c>
      <c r="E1577" s="74" t="s">
        <v>1266</v>
      </c>
      <c r="F1577" s="74" t="s">
        <v>1268</v>
      </c>
      <c r="G1577" s="74" t="s">
        <v>1268</v>
      </c>
    </row>
    <row r="1578" spans="1:7" x14ac:dyDescent="0.2">
      <c r="A1578" s="40">
        <v>6524</v>
      </c>
      <c r="B1578" s="39" t="s">
        <v>1026</v>
      </c>
      <c r="C1578" s="40" t="s">
        <v>871</v>
      </c>
      <c r="D1578" s="74" t="s">
        <v>1269</v>
      </c>
      <c r="E1578" s="74" t="s">
        <v>1266</v>
      </c>
      <c r="F1578" s="74" t="s">
        <v>1268</v>
      </c>
      <c r="G1578" s="74" t="s">
        <v>1267</v>
      </c>
    </row>
    <row r="1579" spans="1:7" x14ac:dyDescent="0.2">
      <c r="A1579" s="40">
        <v>6527</v>
      </c>
      <c r="B1579" s="39" t="s">
        <v>1027</v>
      </c>
      <c r="C1579" s="40" t="s">
        <v>871</v>
      </c>
      <c r="D1579" s="74" t="s">
        <v>1269</v>
      </c>
      <c r="E1579" s="74" t="s">
        <v>1266</v>
      </c>
      <c r="F1579" s="74" t="s">
        <v>1268</v>
      </c>
      <c r="G1579" s="74" t="s">
        <v>1267</v>
      </c>
    </row>
    <row r="1580" spans="1:7" x14ac:dyDescent="0.2">
      <c r="A1580" s="40">
        <v>6528</v>
      </c>
      <c r="B1580" s="39" t="s">
        <v>1028</v>
      </c>
      <c r="C1580" s="40" t="s">
        <v>871</v>
      </c>
      <c r="D1580" s="74" t="s">
        <v>1269</v>
      </c>
      <c r="E1580" s="74" t="s">
        <v>1266</v>
      </c>
      <c r="F1580" s="74" t="s">
        <v>1268</v>
      </c>
      <c r="G1580" s="74" t="s">
        <v>1267</v>
      </c>
    </row>
    <row r="1581" spans="1:7" x14ac:dyDescent="0.2">
      <c r="A1581" s="40">
        <v>6531</v>
      </c>
      <c r="B1581" s="39" t="s">
        <v>1029</v>
      </c>
      <c r="C1581" s="40" t="s">
        <v>871</v>
      </c>
      <c r="D1581" s="74" t="s">
        <v>1269</v>
      </c>
      <c r="E1581" s="74" t="s">
        <v>1266</v>
      </c>
      <c r="F1581" s="74" t="s">
        <v>1268</v>
      </c>
      <c r="G1581" s="74" t="s">
        <v>1268</v>
      </c>
    </row>
    <row r="1582" spans="1:7" x14ac:dyDescent="0.2">
      <c r="A1582" s="40">
        <v>6532</v>
      </c>
      <c r="B1582" s="39" t="s">
        <v>1030</v>
      </c>
      <c r="C1582" s="40" t="s">
        <v>871</v>
      </c>
      <c r="D1582" s="74" t="s">
        <v>1269</v>
      </c>
      <c r="E1582" s="74" t="s">
        <v>1266</v>
      </c>
      <c r="F1582" s="74" t="s">
        <v>1268</v>
      </c>
      <c r="G1582" s="74" t="s">
        <v>1267</v>
      </c>
    </row>
    <row r="1583" spans="1:7" x14ac:dyDescent="0.2">
      <c r="A1583" s="40">
        <v>6533</v>
      </c>
      <c r="B1583" s="39" t="s">
        <v>1031</v>
      </c>
      <c r="C1583" s="40" t="s">
        <v>871</v>
      </c>
      <c r="D1583" s="74" t="s">
        <v>1269</v>
      </c>
      <c r="E1583" s="74" t="s">
        <v>1266</v>
      </c>
      <c r="F1583" s="74" t="s">
        <v>1268</v>
      </c>
      <c r="G1583" s="74" t="s">
        <v>1268</v>
      </c>
    </row>
    <row r="1584" spans="1:7" x14ac:dyDescent="0.2">
      <c r="A1584" s="40">
        <v>6534</v>
      </c>
      <c r="B1584" s="39" t="s">
        <v>1032</v>
      </c>
      <c r="C1584" s="40" t="s">
        <v>871</v>
      </c>
      <c r="D1584" s="74" t="s">
        <v>1269</v>
      </c>
      <c r="E1584" s="74" t="s">
        <v>1266</v>
      </c>
      <c r="F1584" s="74" t="s">
        <v>1268</v>
      </c>
      <c r="G1584" s="74" t="s">
        <v>1268</v>
      </c>
    </row>
    <row r="1585" spans="1:7" x14ac:dyDescent="0.2">
      <c r="A1585" s="40">
        <v>6541</v>
      </c>
      <c r="B1585" s="39" t="s">
        <v>1033</v>
      </c>
      <c r="C1585" s="40" t="s">
        <v>871</v>
      </c>
      <c r="D1585" s="74" t="s">
        <v>1269</v>
      </c>
      <c r="E1585" s="74" t="s">
        <v>1266</v>
      </c>
      <c r="F1585" s="74" t="s">
        <v>1268</v>
      </c>
      <c r="G1585" s="74" t="s">
        <v>1267</v>
      </c>
    </row>
    <row r="1586" spans="1:7" x14ac:dyDescent="0.2">
      <c r="A1586" s="40">
        <v>6542</v>
      </c>
      <c r="B1586" s="39" t="s">
        <v>1034</v>
      </c>
      <c r="C1586" s="40" t="s">
        <v>871</v>
      </c>
      <c r="D1586" s="74" t="s">
        <v>1269</v>
      </c>
      <c r="E1586" s="74" t="s">
        <v>1266</v>
      </c>
      <c r="F1586" s="74" t="s">
        <v>1268</v>
      </c>
      <c r="G1586" s="74" t="s">
        <v>1268</v>
      </c>
    </row>
    <row r="1587" spans="1:7" x14ac:dyDescent="0.2">
      <c r="A1587" s="40">
        <v>6543</v>
      </c>
      <c r="B1587" s="39" t="s">
        <v>231</v>
      </c>
      <c r="C1587" s="40" t="s">
        <v>871</v>
      </c>
      <c r="D1587" s="74" t="s">
        <v>1269</v>
      </c>
      <c r="E1587" s="74" t="s">
        <v>1266</v>
      </c>
      <c r="F1587" s="74" t="s">
        <v>1268</v>
      </c>
      <c r="G1587" s="74" t="s">
        <v>1268</v>
      </c>
    </row>
    <row r="1588" spans="1:7" x14ac:dyDescent="0.2">
      <c r="A1588" s="40">
        <v>6544</v>
      </c>
      <c r="B1588" s="39" t="s">
        <v>1035</v>
      </c>
      <c r="C1588" s="40" t="s">
        <v>871</v>
      </c>
      <c r="D1588" s="74" t="s">
        <v>1269</v>
      </c>
      <c r="E1588" s="74" t="s">
        <v>1266</v>
      </c>
      <c r="F1588" s="74" t="s">
        <v>1268</v>
      </c>
      <c r="G1588" s="74" t="s">
        <v>1267</v>
      </c>
    </row>
    <row r="1589" spans="1:7" x14ac:dyDescent="0.2">
      <c r="A1589" s="40">
        <v>6551</v>
      </c>
      <c r="B1589" s="39" t="s">
        <v>1036</v>
      </c>
      <c r="C1589" s="40" t="s">
        <v>871</v>
      </c>
      <c r="D1589" s="74" t="s">
        <v>1269</v>
      </c>
      <c r="E1589" s="74" t="s">
        <v>1266</v>
      </c>
      <c r="F1589" s="74" t="s">
        <v>1268</v>
      </c>
      <c r="G1589" s="74" t="s">
        <v>1268</v>
      </c>
    </row>
    <row r="1590" spans="1:7" x14ac:dyDescent="0.2">
      <c r="A1590" s="40">
        <v>6552</v>
      </c>
      <c r="B1590" s="39" t="s">
        <v>1037</v>
      </c>
      <c r="C1590" s="40" t="s">
        <v>871</v>
      </c>
      <c r="D1590" s="74" t="s">
        <v>1269</v>
      </c>
      <c r="E1590" s="74" t="s">
        <v>1266</v>
      </c>
      <c r="F1590" s="74" t="s">
        <v>1268</v>
      </c>
      <c r="G1590" s="74" t="s">
        <v>1267</v>
      </c>
    </row>
    <row r="1591" spans="1:7" x14ac:dyDescent="0.2">
      <c r="A1591" s="40">
        <v>6553</v>
      </c>
      <c r="B1591" s="39" t="s">
        <v>1038</v>
      </c>
      <c r="C1591" s="40" t="s">
        <v>871</v>
      </c>
      <c r="D1591" s="74" t="s">
        <v>1269</v>
      </c>
      <c r="E1591" s="74" t="s">
        <v>1266</v>
      </c>
      <c r="F1591" s="74" t="s">
        <v>1268</v>
      </c>
      <c r="G1591" s="74" t="s">
        <v>1268</v>
      </c>
    </row>
    <row r="1592" spans="1:7" x14ac:dyDescent="0.2">
      <c r="A1592" s="40">
        <v>6555</v>
      </c>
      <c r="B1592" s="39" t="s">
        <v>1039</v>
      </c>
      <c r="C1592" s="40" t="s">
        <v>871</v>
      </c>
      <c r="D1592" s="74" t="s">
        <v>1269</v>
      </c>
      <c r="E1592" s="74" t="s">
        <v>1266</v>
      </c>
      <c r="F1592" s="74" t="s">
        <v>1268</v>
      </c>
      <c r="G1592" s="74" t="s">
        <v>1268</v>
      </c>
    </row>
    <row r="1593" spans="1:7" x14ac:dyDescent="0.2">
      <c r="A1593" s="40">
        <v>6561</v>
      </c>
      <c r="B1593" s="39" t="s">
        <v>1040</v>
      </c>
      <c r="C1593" s="40" t="s">
        <v>871</v>
      </c>
      <c r="D1593" s="74" t="s">
        <v>1269</v>
      </c>
      <c r="E1593" s="74" t="s">
        <v>1266</v>
      </c>
      <c r="F1593" s="74" t="s">
        <v>1268</v>
      </c>
      <c r="G1593" s="74" t="s">
        <v>1268</v>
      </c>
    </row>
    <row r="1594" spans="1:7" x14ac:dyDescent="0.2">
      <c r="A1594" s="40">
        <v>6562</v>
      </c>
      <c r="B1594" s="39" t="s">
        <v>1041</v>
      </c>
      <c r="C1594" s="40" t="s">
        <v>871</v>
      </c>
      <c r="D1594" s="74" t="s">
        <v>1269</v>
      </c>
      <c r="E1594" s="74" t="s">
        <v>1266</v>
      </c>
      <c r="F1594" s="74" t="s">
        <v>1268</v>
      </c>
      <c r="G1594" s="74" t="s">
        <v>1267</v>
      </c>
    </row>
    <row r="1595" spans="1:7" x14ac:dyDescent="0.2">
      <c r="A1595" s="40">
        <v>6563</v>
      </c>
      <c r="B1595" s="39" t="s">
        <v>1042</v>
      </c>
      <c r="C1595" s="40" t="s">
        <v>871</v>
      </c>
      <c r="D1595" s="74" t="s">
        <v>1269</v>
      </c>
      <c r="E1595" s="74" t="s">
        <v>1266</v>
      </c>
      <c r="F1595" s="74" t="s">
        <v>1268</v>
      </c>
      <c r="G1595" s="74" t="s">
        <v>1268</v>
      </c>
    </row>
    <row r="1596" spans="1:7" x14ac:dyDescent="0.2">
      <c r="A1596" s="40">
        <v>6571</v>
      </c>
      <c r="B1596" s="39" t="s">
        <v>1043</v>
      </c>
      <c r="C1596" s="40" t="s">
        <v>871</v>
      </c>
      <c r="D1596" s="74" t="s">
        <v>1269</v>
      </c>
      <c r="E1596" s="74" t="s">
        <v>1266</v>
      </c>
      <c r="F1596" s="74" t="s">
        <v>1268</v>
      </c>
      <c r="G1596" s="74" t="s">
        <v>1267</v>
      </c>
    </row>
    <row r="1597" spans="1:7" x14ac:dyDescent="0.2">
      <c r="A1597" s="40">
        <v>6572</v>
      </c>
      <c r="B1597" s="39" t="s">
        <v>1044</v>
      </c>
      <c r="C1597" s="40" t="s">
        <v>871</v>
      </c>
      <c r="D1597" s="74" t="s">
        <v>1269</v>
      </c>
      <c r="E1597" s="74" t="s">
        <v>1266</v>
      </c>
      <c r="F1597" s="74" t="s">
        <v>1268</v>
      </c>
      <c r="G1597" s="74" t="s">
        <v>1268</v>
      </c>
    </row>
    <row r="1598" spans="1:7" x14ac:dyDescent="0.2">
      <c r="A1598" s="40">
        <v>6574</v>
      </c>
      <c r="B1598" s="39" t="s">
        <v>1045</v>
      </c>
      <c r="C1598" s="40" t="s">
        <v>871</v>
      </c>
      <c r="D1598" s="74" t="s">
        <v>1269</v>
      </c>
      <c r="E1598" s="74" t="s">
        <v>1266</v>
      </c>
      <c r="F1598" s="74" t="s">
        <v>1268</v>
      </c>
      <c r="G1598" s="74" t="s">
        <v>1268</v>
      </c>
    </row>
    <row r="1599" spans="1:7" x14ac:dyDescent="0.2">
      <c r="A1599" s="40">
        <v>6580</v>
      </c>
      <c r="B1599" s="39" t="s">
        <v>1046</v>
      </c>
      <c r="C1599" s="40" t="s">
        <v>871</v>
      </c>
      <c r="D1599" s="74" t="s">
        <v>1269</v>
      </c>
      <c r="E1599" s="74" t="s">
        <v>1266</v>
      </c>
      <c r="F1599" s="74" t="s">
        <v>1268</v>
      </c>
      <c r="G1599" s="74" t="s">
        <v>1268</v>
      </c>
    </row>
    <row r="1600" spans="1:7" x14ac:dyDescent="0.2">
      <c r="A1600" s="40">
        <v>6591</v>
      </c>
      <c r="B1600" s="39" t="s">
        <v>1047</v>
      </c>
      <c r="C1600" s="40" t="s">
        <v>871</v>
      </c>
      <c r="D1600" s="74" t="s">
        <v>1269</v>
      </c>
      <c r="E1600" s="74" t="s">
        <v>1266</v>
      </c>
      <c r="F1600" s="74" t="s">
        <v>1268</v>
      </c>
      <c r="G1600" s="74" t="s">
        <v>1267</v>
      </c>
    </row>
    <row r="1601" spans="1:7" x14ac:dyDescent="0.2">
      <c r="A1601" s="40">
        <v>6600</v>
      </c>
      <c r="B1601" s="39" t="s">
        <v>1048</v>
      </c>
      <c r="C1601" s="40" t="s">
        <v>871</v>
      </c>
      <c r="D1601" s="74" t="s">
        <v>1269</v>
      </c>
      <c r="E1601" s="74" t="s">
        <v>1266</v>
      </c>
      <c r="F1601" s="74" t="s">
        <v>1268</v>
      </c>
      <c r="G1601" s="74" t="s">
        <v>1268</v>
      </c>
    </row>
    <row r="1602" spans="1:7" x14ac:dyDescent="0.2">
      <c r="A1602" s="40">
        <v>6610</v>
      </c>
      <c r="B1602" s="39" t="s">
        <v>1049</v>
      </c>
      <c r="C1602" s="40" t="s">
        <v>871</v>
      </c>
      <c r="D1602" s="74" t="s">
        <v>1269</v>
      </c>
      <c r="E1602" s="74" t="s">
        <v>1266</v>
      </c>
      <c r="F1602" s="74" t="s">
        <v>1268</v>
      </c>
      <c r="G1602" s="74" t="s">
        <v>1267</v>
      </c>
    </row>
    <row r="1603" spans="1:7" x14ac:dyDescent="0.2">
      <c r="A1603" s="40">
        <v>6611</v>
      </c>
      <c r="B1603" s="39" t="s">
        <v>1050</v>
      </c>
      <c r="C1603" s="40" t="s">
        <v>871</v>
      </c>
      <c r="D1603" s="74" t="s">
        <v>1269</v>
      </c>
      <c r="E1603" s="74" t="s">
        <v>1266</v>
      </c>
      <c r="F1603" s="74" t="s">
        <v>1268</v>
      </c>
      <c r="G1603" s="74" t="s">
        <v>1267</v>
      </c>
    </row>
    <row r="1604" spans="1:7" x14ac:dyDescent="0.2">
      <c r="A1604" s="40">
        <v>6621</v>
      </c>
      <c r="B1604" s="39" t="s">
        <v>1051</v>
      </c>
      <c r="C1604" s="40" t="s">
        <v>871</v>
      </c>
      <c r="D1604" s="74" t="s">
        <v>1269</v>
      </c>
      <c r="E1604" s="74" t="s">
        <v>1266</v>
      </c>
      <c r="F1604" s="74" t="s">
        <v>1268</v>
      </c>
      <c r="G1604" s="74" t="s">
        <v>1268</v>
      </c>
    </row>
    <row r="1605" spans="1:7" x14ac:dyDescent="0.2">
      <c r="A1605" s="40">
        <v>6622</v>
      </c>
      <c r="B1605" s="39" t="s">
        <v>1052</v>
      </c>
      <c r="C1605" s="40" t="s">
        <v>871</v>
      </c>
      <c r="D1605" s="74" t="s">
        <v>1269</v>
      </c>
      <c r="E1605" s="74" t="s">
        <v>1266</v>
      </c>
      <c r="F1605" s="74" t="s">
        <v>1268</v>
      </c>
      <c r="G1605" s="74" t="s">
        <v>1267</v>
      </c>
    </row>
    <row r="1606" spans="1:7" x14ac:dyDescent="0.2">
      <c r="A1606" s="40">
        <v>6623</v>
      </c>
      <c r="B1606" s="39" t="s">
        <v>1053</v>
      </c>
      <c r="C1606" s="40" t="s">
        <v>871</v>
      </c>
      <c r="D1606" s="74" t="s">
        <v>1269</v>
      </c>
      <c r="E1606" s="74" t="s">
        <v>1266</v>
      </c>
      <c r="F1606" s="74" t="s">
        <v>1268</v>
      </c>
      <c r="G1606" s="74" t="s">
        <v>1267</v>
      </c>
    </row>
    <row r="1607" spans="1:7" x14ac:dyDescent="0.2">
      <c r="A1607" s="40">
        <v>6631</v>
      </c>
      <c r="B1607" s="39" t="s">
        <v>1054</v>
      </c>
      <c r="C1607" s="40" t="s">
        <v>871</v>
      </c>
      <c r="D1607" s="74" t="s">
        <v>1269</v>
      </c>
      <c r="E1607" s="74" t="s">
        <v>1266</v>
      </c>
      <c r="F1607" s="74" t="s">
        <v>1268</v>
      </c>
      <c r="G1607" s="74" t="s">
        <v>1268</v>
      </c>
    </row>
    <row r="1608" spans="1:7" x14ac:dyDescent="0.2">
      <c r="A1608" s="40">
        <v>6632</v>
      </c>
      <c r="B1608" s="39" t="s">
        <v>1055</v>
      </c>
      <c r="C1608" s="40" t="s">
        <v>871</v>
      </c>
      <c r="D1608" s="74" t="s">
        <v>1269</v>
      </c>
      <c r="E1608" s="74" t="s">
        <v>1266</v>
      </c>
      <c r="F1608" s="74" t="s">
        <v>1268</v>
      </c>
      <c r="G1608" s="74" t="s">
        <v>1268</v>
      </c>
    </row>
    <row r="1609" spans="1:7" x14ac:dyDescent="0.2">
      <c r="A1609" s="40">
        <v>6633</v>
      </c>
      <c r="B1609" s="39" t="s">
        <v>1056</v>
      </c>
      <c r="C1609" s="40" t="s">
        <v>871</v>
      </c>
      <c r="D1609" s="74" t="s">
        <v>1269</v>
      </c>
      <c r="E1609" s="74" t="s">
        <v>1266</v>
      </c>
      <c r="F1609" s="74" t="s">
        <v>1268</v>
      </c>
      <c r="G1609" s="74" t="s">
        <v>1267</v>
      </c>
    </row>
    <row r="1610" spans="1:7" x14ac:dyDescent="0.2">
      <c r="A1610" s="40">
        <v>6642</v>
      </c>
      <c r="B1610" s="39" t="s">
        <v>1057</v>
      </c>
      <c r="C1610" s="40" t="s">
        <v>871</v>
      </c>
      <c r="D1610" s="74" t="s">
        <v>1269</v>
      </c>
      <c r="E1610" s="74" t="s">
        <v>1266</v>
      </c>
      <c r="F1610" s="74" t="s">
        <v>1268</v>
      </c>
      <c r="G1610" s="74" t="s">
        <v>1267</v>
      </c>
    </row>
    <row r="1611" spans="1:7" x14ac:dyDescent="0.2">
      <c r="A1611" s="40">
        <v>6644</v>
      </c>
      <c r="B1611" s="39" t="s">
        <v>1058</v>
      </c>
      <c r="C1611" s="40" t="s">
        <v>871</v>
      </c>
      <c r="D1611" s="74" t="s">
        <v>1269</v>
      </c>
      <c r="E1611" s="74" t="s">
        <v>1266</v>
      </c>
      <c r="F1611" s="74" t="s">
        <v>1268</v>
      </c>
      <c r="G1611" s="74" t="s">
        <v>1267</v>
      </c>
    </row>
    <row r="1612" spans="1:7" x14ac:dyDescent="0.2">
      <c r="A1612" s="40">
        <v>6645</v>
      </c>
      <c r="B1612" s="39" t="s">
        <v>1059</v>
      </c>
      <c r="C1612" s="40" t="s">
        <v>871</v>
      </c>
      <c r="D1612" s="74" t="s">
        <v>1269</v>
      </c>
      <c r="E1612" s="74" t="s">
        <v>1266</v>
      </c>
      <c r="F1612" s="74" t="s">
        <v>1268</v>
      </c>
      <c r="G1612" s="74" t="s">
        <v>1267</v>
      </c>
    </row>
    <row r="1613" spans="1:7" x14ac:dyDescent="0.2">
      <c r="A1613" s="40">
        <v>6646</v>
      </c>
      <c r="B1613" s="39" t="s">
        <v>1060</v>
      </c>
      <c r="C1613" s="40" t="s">
        <v>871</v>
      </c>
      <c r="D1613" s="74" t="s">
        <v>1269</v>
      </c>
      <c r="E1613" s="74" t="s">
        <v>1266</v>
      </c>
      <c r="F1613" s="74" t="s">
        <v>1268</v>
      </c>
      <c r="G1613" s="74" t="s">
        <v>1267</v>
      </c>
    </row>
    <row r="1614" spans="1:7" x14ac:dyDescent="0.2">
      <c r="A1614" s="40">
        <v>6647</v>
      </c>
      <c r="B1614" s="39" t="s">
        <v>1061</v>
      </c>
      <c r="C1614" s="40" t="s">
        <v>871</v>
      </c>
      <c r="D1614" s="74" t="s">
        <v>1269</v>
      </c>
      <c r="E1614" s="74" t="s">
        <v>1266</v>
      </c>
      <c r="F1614" s="74" t="s">
        <v>1268</v>
      </c>
      <c r="G1614" s="74" t="s">
        <v>1267</v>
      </c>
    </row>
    <row r="1615" spans="1:7" x14ac:dyDescent="0.2">
      <c r="A1615" s="40">
        <v>6650</v>
      </c>
      <c r="B1615" s="39" t="s">
        <v>1062</v>
      </c>
      <c r="C1615" s="40" t="s">
        <v>871</v>
      </c>
      <c r="D1615" s="74" t="s">
        <v>1269</v>
      </c>
      <c r="E1615" s="74" t="s">
        <v>1266</v>
      </c>
      <c r="F1615" s="74" t="s">
        <v>1268</v>
      </c>
      <c r="G1615" s="74" t="s">
        <v>1267</v>
      </c>
    </row>
    <row r="1616" spans="1:7" x14ac:dyDescent="0.2">
      <c r="A1616" s="40">
        <v>6651</v>
      </c>
      <c r="B1616" s="39" t="s">
        <v>1063</v>
      </c>
      <c r="C1616" s="40" t="s">
        <v>871</v>
      </c>
      <c r="D1616" s="74" t="s">
        <v>1269</v>
      </c>
      <c r="E1616" s="74" t="s">
        <v>1266</v>
      </c>
      <c r="F1616" s="74" t="s">
        <v>1268</v>
      </c>
      <c r="G1616" s="74" t="s">
        <v>1267</v>
      </c>
    </row>
    <row r="1617" spans="1:7" x14ac:dyDescent="0.2">
      <c r="A1617" s="40">
        <v>6652</v>
      </c>
      <c r="B1617" s="39" t="s">
        <v>1064</v>
      </c>
      <c r="C1617" s="40" t="s">
        <v>871</v>
      </c>
      <c r="D1617" s="74" t="s">
        <v>1269</v>
      </c>
      <c r="E1617" s="74" t="s">
        <v>1266</v>
      </c>
      <c r="F1617" s="74" t="s">
        <v>1268</v>
      </c>
      <c r="G1617" s="74" t="s">
        <v>1268</v>
      </c>
    </row>
    <row r="1618" spans="1:7" x14ac:dyDescent="0.2">
      <c r="A1618" s="40">
        <v>6653</v>
      </c>
      <c r="B1618" s="39" t="s">
        <v>1065</v>
      </c>
      <c r="C1618" s="40" t="s">
        <v>871</v>
      </c>
      <c r="D1618" s="74" t="s">
        <v>1269</v>
      </c>
      <c r="E1618" s="74" t="s">
        <v>1266</v>
      </c>
      <c r="F1618" s="74" t="s">
        <v>1268</v>
      </c>
      <c r="G1618" s="74" t="s">
        <v>1267</v>
      </c>
    </row>
    <row r="1619" spans="1:7" x14ac:dyDescent="0.2">
      <c r="A1619" s="40">
        <v>6654</v>
      </c>
      <c r="B1619" s="39" t="s">
        <v>1066</v>
      </c>
      <c r="C1619" s="40" t="s">
        <v>871</v>
      </c>
      <c r="D1619" s="74" t="s">
        <v>1269</v>
      </c>
      <c r="E1619" s="74" t="s">
        <v>1266</v>
      </c>
      <c r="F1619" s="74" t="s">
        <v>1268</v>
      </c>
      <c r="G1619" s="74" t="s">
        <v>1267</v>
      </c>
    </row>
    <row r="1620" spans="1:7" x14ac:dyDescent="0.2">
      <c r="A1620" s="40">
        <v>6655</v>
      </c>
      <c r="B1620" s="39" t="s">
        <v>390</v>
      </c>
      <c r="C1620" s="40" t="s">
        <v>871</v>
      </c>
      <c r="D1620" s="74" t="s">
        <v>1269</v>
      </c>
      <c r="E1620" s="74" t="s">
        <v>1266</v>
      </c>
      <c r="F1620" s="74" t="s">
        <v>1268</v>
      </c>
      <c r="G1620" s="74" t="s">
        <v>1267</v>
      </c>
    </row>
    <row r="1621" spans="1:7" x14ac:dyDescent="0.2">
      <c r="A1621" s="40">
        <v>6670</v>
      </c>
      <c r="B1621" s="39" t="s">
        <v>1067</v>
      </c>
      <c r="C1621" s="40" t="s">
        <v>871</v>
      </c>
      <c r="D1621" s="74" t="s">
        <v>1269</v>
      </c>
      <c r="E1621" s="74" t="s">
        <v>1266</v>
      </c>
      <c r="F1621" s="74" t="s">
        <v>1268</v>
      </c>
      <c r="G1621" s="74" t="s">
        <v>1267</v>
      </c>
    </row>
    <row r="1622" spans="1:7" x14ac:dyDescent="0.2">
      <c r="A1622" s="40">
        <v>6671</v>
      </c>
      <c r="B1622" s="39" t="s">
        <v>1068</v>
      </c>
      <c r="C1622" s="40" t="s">
        <v>871</v>
      </c>
      <c r="D1622" s="74" t="s">
        <v>1269</v>
      </c>
      <c r="E1622" s="74" t="s">
        <v>1266</v>
      </c>
      <c r="F1622" s="74" t="s">
        <v>1268</v>
      </c>
      <c r="G1622" s="74" t="s">
        <v>1268</v>
      </c>
    </row>
    <row r="1623" spans="1:7" x14ac:dyDescent="0.2">
      <c r="A1623" s="40">
        <v>6672</v>
      </c>
      <c r="B1623" s="39" t="s">
        <v>1069</v>
      </c>
      <c r="C1623" s="40" t="s">
        <v>871</v>
      </c>
      <c r="D1623" s="74" t="s">
        <v>1269</v>
      </c>
      <c r="E1623" s="74" t="s">
        <v>1266</v>
      </c>
      <c r="F1623" s="74" t="s">
        <v>1268</v>
      </c>
      <c r="G1623" s="74" t="s">
        <v>1267</v>
      </c>
    </row>
    <row r="1624" spans="1:7" x14ac:dyDescent="0.2">
      <c r="A1624" s="40">
        <v>6673</v>
      </c>
      <c r="B1624" s="39" t="s">
        <v>1070</v>
      </c>
      <c r="C1624" s="40" t="s">
        <v>871</v>
      </c>
      <c r="D1624" s="74" t="s">
        <v>1269</v>
      </c>
      <c r="E1624" s="74" t="s">
        <v>1266</v>
      </c>
      <c r="F1624" s="74" t="s">
        <v>1268</v>
      </c>
      <c r="G1624" s="74" t="s">
        <v>1267</v>
      </c>
    </row>
    <row r="1625" spans="1:7" x14ac:dyDescent="0.2">
      <c r="A1625" s="40">
        <v>6675</v>
      </c>
      <c r="B1625" s="39" t="s">
        <v>1071</v>
      </c>
      <c r="C1625" s="40" t="s">
        <v>871</v>
      </c>
      <c r="D1625" s="74" t="s">
        <v>1269</v>
      </c>
      <c r="E1625" s="74" t="s">
        <v>1266</v>
      </c>
      <c r="F1625" s="74" t="s">
        <v>1268</v>
      </c>
      <c r="G1625" s="74" t="s">
        <v>1268</v>
      </c>
    </row>
    <row r="1626" spans="1:7" x14ac:dyDescent="0.2">
      <c r="A1626" s="40">
        <v>6677</v>
      </c>
      <c r="B1626" s="39" t="s">
        <v>1072</v>
      </c>
      <c r="C1626" s="40" t="s">
        <v>871</v>
      </c>
      <c r="D1626" s="74" t="s">
        <v>1269</v>
      </c>
      <c r="E1626" s="74" t="s">
        <v>1266</v>
      </c>
      <c r="F1626" s="74" t="s">
        <v>1268</v>
      </c>
      <c r="G1626" s="74" t="s">
        <v>1267</v>
      </c>
    </row>
    <row r="1627" spans="1:7" x14ac:dyDescent="0.2">
      <c r="A1627" s="40">
        <v>6682</v>
      </c>
      <c r="B1627" s="39" t="s">
        <v>1073</v>
      </c>
      <c r="C1627" s="40" t="s">
        <v>871</v>
      </c>
      <c r="D1627" s="74" t="s">
        <v>1269</v>
      </c>
      <c r="E1627" s="74" t="s">
        <v>1266</v>
      </c>
      <c r="F1627" s="74" t="s">
        <v>1268</v>
      </c>
      <c r="G1627" s="74" t="s">
        <v>1268</v>
      </c>
    </row>
    <row r="1628" spans="1:7" x14ac:dyDescent="0.2">
      <c r="A1628" s="40">
        <v>6691</v>
      </c>
      <c r="B1628" s="39" t="s">
        <v>1074</v>
      </c>
      <c r="C1628" s="40" t="s">
        <v>871</v>
      </c>
      <c r="D1628" s="74" t="s">
        <v>1269</v>
      </c>
      <c r="E1628" s="74" t="s">
        <v>1266</v>
      </c>
      <c r="F1628" s="74" t="s">
        <v>1268</v>
      </c>
      <c r="G1628" s="74" t="s">
        <v>1268</v>
      </c>
    </row>
    <row r="1629" spans="1:7" x14ac:dyDescent="0.2">
      <c r="A1629" s="40">
        <v>6700</v>
      </c>
      <c r="B1629" s="39" t="s">
        <v>135</v>
      </c>
      <c r="C1629" s="40" t="s">
        <v>1075</v>
      </c>
      <c r="D1629" s="74" t="s">
        <v>1269</v>
      </c>
      <c r="E1629" s="74" t="s">
        <v>1266</v>
      </c>
      <c r="F1629" s="74" t="s">
        <v>1268</v>
      </c>
      <c r="G1629" s="74" t="s">
        <v>1268</v>
      </c>
    </row>
    <row r="1630" spans="1:7" x14ac:dyDescent="0.2">
      <c r="A1630" s="40">
        <v>6701</v>
      </c>
      <c r="B1630" s="39" t="s">
        <v>1076</v>
      </c>
      <c r="C1630" s="40" t="s">
        <v>1075</v>
      </c>
      <c r="D1630" s="74" t="s">
        <v>1271</v>
      </c>
      <c r="E1630" s="74" t="s">
        <v>1266</v>
      </c>
      <c r="F1630" s="74" t="s">
        <v>1267</v>
      </c>
      <c r="G1630" s="74" t="s">
        <v>1268</v>
      </c>
    </row>
    <row r="1631" spans="1:7" x14ac:dyDescent="0.2">
      <c r="A1631" s="40">
        <v>6706</v>
      </c>
      <c r="B1631" s="39" t="s">
        <v>1077</v>
      </c>
      <c r="C1631" s="40" t="s">
        <v>1075</v>
      </c>
      <c r="D1631" s="74" t="s">
        <v>1269</v>
      </c>
      <c r="E1631" s="74" t="s">
        <v>1266</v>
      </c>
      <c r="F1631" s="74" t="s">
        <v>1268</v>
      </c>
      <c r="G1631" s="74" t="s">
        <v>1268</v>
      </c>
    </row>
    <row r="1632" spans="1:7" x14ac:dyDescent="0.2">
      <c r="A1632" s="40">
        <v>6707</v>
      </c>
      <c r="B1632" s="39" t="s">
        <v>1078</v>
      </c>
      <c r="C1632" s="40" t="s">
        <v>1075</v>
      </c>
      <c r="D1632" s="74" t="s">
        <v>1269</v>
      </c>
      <c r="E1632" s="74" t="s">
        <v>1266</v>
      </c>
      <c r="F1632" s="74" t="s">
        <v>1268</v>
      </c>
      <c r="G1632" s="74" t="s">
        <v>1267</v>
      </c>
    </row>
    <row r="1633" spans="1:7" x14ac:dyDescent="0.2">
      <c r="A1633" s="40">
        <v>6708</v>
      </c>
      <c r="B1633" s="39" t="s">
        <v>617</v>
      </c>
      <c r="C1633" s="40" t="s">
        <v>1075</v>
      </c>
      <c r="D1633" s="74" t="s">
        <v>1269</v>
      </c>
      <c r="E1633" s="74" t="s">
        <v>1266</v>
      </c>
      <c r="F1633" s="74" t="s">
        <v>1268</v>
      </c>
      <c r="G1633" s="74" t="s">
        <v>1267</v>
      </c>
    </row>
    <row r="1634" spans="1:7" x14ac:dyDescent="0.2">
      <c r="A1634" s="40">
        <v>6710</v>
      </c>
      <c r="B1634" s="39" t="s">
        <v>1079</v>
      </c>
      <c r="C1634" s="40" t="s">
        <v>1075</v>
      </c>
      <c r="D1634" s="74" t="s">
        <v>1269</v>
      </c>
      <c r="E1634" s="74" t="s">
        <v>1266</v>
      </c>
      <c r="F1634" s="74" t="s">
        <v>1268</v>
      </c>
      <c r="G1634" s="74" t="s">
        <v>1268</v>
      </c>
    </row>
    <row r="1635" spans="1:7" x14ac:dyDescent="0.2">
      <c r="A1635" s="40">
        <v>6712</v>
      </c>
      <c r="B1635" s="39" t="s">
        <v>1080</v>
      </c>
      <c r="C1635" s="40" t="s">
        <v>1075</v>
      </c>
      <c r="D1635" s="74" t="s">
        <v>1269</v>
      </c>
      <c r="E1635" s="74" t="s">
        <v>1266</v>
      </c>
      <c r="F1635" s="74" t="s">
        <v>1268</v>
      </c>
      <c r="G1635" s="74" t="s">
        <v>1268</v>
      </c>
    </row>
    <row r="1636" spans="1:7" x14ac:dyDescent="0.2">
      <c r="A1636" s="40">
        <v>6713</v>
      </c>
      <c r="B1636" s="39" t="s">
        <v>1081</v>
      </c>
      <c r="C1636" s="40" t="s">
        <v>1075</v>
      </c>
      <c r="D1636" s="74" t="s">
        <v>1269</v>
      </c>
      <c r="E1636" s="74" t="s">
        <v>1266</v>
      </c>
      <c r="F1636" s="74" t="s">
        <v>1268</v>
      </c>
      <c r="G1636" s="74" t="s">
        <v>1268</v>
      </c>
    </row>
    <row r="1637" spans="1:7" x14ac:dyDescent="0.2">
      <c r="A1637" s="40">
        <v>6714</v>
      </c>
      <c r="B1637" s="39" t="s">
        <v>1082</v>
      </c>
      <c r="C1637" s="40" t="s">
        <v>1075</v>
      </c>
      <c r="D1637" s="74" t="s">
        <v>1269</v>
      </c>
      <c r="E1637" s="74" t="s">
        <v>1266</v>
      </c>
      <c r="F1637" s="74" t="s">
        <v>1268</v>
      </c>
      <c r="G1637" s="74" t="s">
        <v>1268</v>
      </c>
    </row>
    <row r="1638" spans="1:7" x14ac:dyDescent="0.2">
      <c r="A1638" s="40">
        <v>6719</v>
      </c>
      <c r="B1638" s="39" t="s">
        <v>1083</v>
      </c>
      <c r="C1638" s="40" t="s">
        <v>1075</v>
      </c>
      <c r="D1638" s="74" t="s">
        <v>1269</v>
      </c>
      <c r="E1638" s="74" t="s">
        <v>1266</v>
      </c>
      <c r="F1638" s="74" t="s">
        <v>1268</v>
      </c>
      <c r="G1638" s="74" t="s">
        <v>1267</v>
      </c>
    </row>
    <row r="1639" spans="1:7" x14ac:dyDescent="0.2">
      <c r="A1639" s="40">
        <v>6721</v>
      </c>
      <c r="B1639" s="39" t="s">
        <v>1084</v>
      </c>
      <c r="C1639" s="40" t="s">
        <v>1075</v>
      </c>
      <c r="D1639" s="74" t="s">
        <v>1269</v>
      </c>
      <c r="E1639" s="74" t="s">
        <v>1266</v>
      </c>
      <c r="F1639" s="74" t="s">
        <v>1268</v>
      </c>
      <c r="G1639" s="74" t="s">
        <v>1267</v>
      </c>
    </row>
    <row r="1640" spans="1:7" x14ac:dyDescent="0.2">
      <c r="A1640" s="40">
        <v>6722</v>
      </c>
      <c r="B1640" s="39" t="s">
        <v>1085</v>
      </c>
      <c r="C1640" s="40" t="s">
        <v>1075</v>
      </c>
      <c r="D1640" s="74" t="s">
        <v>1269</v>
      </c>
      <c r="E1640" s="74" t="s">
        <v>1266</v>
      </c>
      <c r="F1640" s="74" t="s">
        <v>1268</v>
      </c>
      <c r="G1640" s="74" t="s">
        <v>1267</v>
      </c>
    </row>
    <row r="1641" spans="1:7" x14ac:dyDescent="0.2">
      <c r="A1641" s="40">
        <v>6723</v>
      </c>
      <c r="B1641" s="39" t="s">
        <v>1086</v>
      </c>
      <c r="C1641" s="40" t="s">
        <v>1075</v>
      </c>
      <c r="D1641" s="74" t="s">
        <v>1269</v>
      </c>
      <c r="E1641" s="74" t="s">
        <v>1266</v>
      </c>
      <c r="F1641" s="74" t="s">
        <v>1268</v>
      </c>
      <c r="G1641" s="74" t="s">
        <v>1267</v>
      </c>
    </row>
    <row r="1642" spans="1:7" x14ac:dyDescent="0.2">
      <c r="A1642" s="40">
        <v>6731</v>
      </c>
      <c r="B1642" s="39" t="s">
        <v>1087</v>
      </c>
      <c r="C1642" s="40" t="s">
        <v>1075</v>
      </c>
      <c r="D1642" s="74" t="s">
        <v>1269</v>
      </c>
      <c r="E1642" s="74" t="s">
        <v>1266</v>
      </c>
      <c r="F1642" s="74" t="s">
        <v>1268</v>
      </c>
      <c r="G1642" s="74" t="s">
        <v>1268</v>
      </c>
    </row>
    <row r="1643" spans="1:7" x14ac:dyDescent="0.2">
      <c r="A1643" s="40">
        <v>6733</v>
      </c>
      <c r="B1643" s="39" t="s">
        <v>1088</v>
      </c>
      <c r="C1643" s="40" t="s">
        <v>1075</v>
      </c>
      <c r="D1643" s="74" t="s">
        <v>1269</v>
      </c>
      <c r="E1643" s="74" t="s">
        <v>1266</v>
      </c>
      <c r="F1643" s="74" t="s">
        <v>1268</v>
      </c>
      <c r="G1643" s="74" t="s">
        <v>1267</v>
      </c>
    </row>
    <row r="1644" spans="1:7" x14ac:dyDescent="0.2">
      <c r="A1644" s="40">
        <v>6741</v>
      </c>
      <c r="B1644" s="39" t="s">
        <v>1089</v>
      </c>
      <c r="C1644" s="40" t="s">
        <v>1075</v>
      </c>
      <c r="D1644" s="74" t="s">
        <v>1269</v>
      </c>
      <c r="E1644" s="74" t="s">
        <v>1266</v>
      </c>
      <c r="F1644" s="74" t="s">
        <v>1268</v>
      </c>
      <c r="G1644" s="74" t="s">
        <v>1267</v>
      </c>
    </row>
    <row r="1645" spans="1:7" x14ac:dyDescent="0.2">
      <c r="A1645" s="40">
        <v>6751</v>
      </c>
      <c r="B1645" s="39" t="s">
        <v>1090</v>
      </c>
      <c r="C1645" s="40" t="s">
        <v>1075</v>
      </c>
      <c r="D1645" s="74" t="s">
        <v>1269</v>
      </c>
      <c r="E1645" s="74" t="s">
        <v>1266</v>
      </c>
      <c r="F1645" s="74" t="s">
        <v>1268</v>
      </c>
      <c r="G1645" s="74" t="s">
        <v>1267</v>
      </c>
    </row>
    <row r="1646" spans="1:7" x14ac:dyDescent="0.2">
      <c r="A1646" s="40">
        <v>6752</v>
      </c>
      <c r="B1646" s="39" t="s">
        <v>2420</v>
      </c>
      <c r="C1646" s="40" t="s">
        <v>1075</v>
      </c>
      <c r="D1646" s="74" t="s">
        <v>1269</v>
      </c>
      <c r="E1646" s="74" t="s">
        <v>1266</v>
      </c>
      <c r="F1646" s="74" t="s">
        <v>1268</v>
      </c>
      <c r="G1646" s="74" t="s">
        <v>1268</v>
      </c>
    </row>
    <row r="1647" spans="1:7" x14ac:dyDescent="0.2">
      <c r="A1647" s="40">
        <v>6754</v>
      </c>
      <c r="B1647" s="39" t="s">
        <v>2421</v>
      </c>
      <c r="C1647" s="40" t="s">
        <v>1075</v>
      </c>
      <c r="D1647" s="74" t="s">
        <v>1269</v>
      </c>
      <c r="E1647" s="74" t="s">
        <v>1266</v>
      </c>
      <c r="F1647" s="74" t="s">
        <v>1268</v>
      </c>
      <c r="G1647" s="74" t="s">
        <v>1267</v>
      </c>
    </row>
    <row r="1648" spans="1:7" x14ac:dyDescent="0.2">
      <c r="A1648" s="40">
        <v>6762</v>
      </c>
      <c r="B1648" s="39" t="s">
        <v>2422</v>
      </c>
      <c r="C1648" s="40" t="s">
        <v>1075</v>
      </c>
      <c r="D1648" s="74" t="s">
        <v>1269</v>
      </c>
      <c r="E1648" s="74" t="s">
        <v>1266</v>
      </c>
      <c r="F1648" s="74" t="s">
        <v>1268</v>
      </c>
      <c r="G1648" s="74" t="s">
        <v>1267</v>
      </c>
    </row>
    <row r="1649" spans="1:7" x14ac:dyDescent="0.2">
      <c r="A1649" s="40">
        <v>6763</v>
      </c>
      <c r="B1649" s="39" t="s">
        <v>2423</v>
      </c>
      <c r="C1649" s="40" t="s">
        <v>1075</v>
      </c>
      <c r="D1649" s="74" t="s">
        <v>1269</v>
      </c>
      <c r="E1649" s="74" t="s">
        <v>1266</v>
      </c>
      <c r="F1649" s="74" t="s">
        <v>1268</v>
      </c>
      <c r="G1649" s="74" t="s">
        <v>1267</v>
      </c>
    </row>
    <row r="1650" spans="1:7" x14ac:dyDescent="0.2">
      <c r="A1650" s="40">
        <v>6764</v>
      </c>
      <c r="B1650" s="39" t="s">
        <v>2424</v>
      </c>
      <c r="C1650" s="40" t="s">
        <v>1075</v>
      </c>
      <c r="D1650" s="74" t="s">
        <v>1269</v>
      </c>
      <c r="E1650" s="74" t="s">
        <v>1266</v>
      </c>
      <c r="F1650" s="74" t="s">
        <v>1268</v>
      </c>
      <c r="G1650" s="74" t="s">
        <v>1268</v>
      </c>
    </row>
    <row r="1651" spans="1:7" x14ac:dyDescent="0.2">
      <c r="A1651" s="40">
        <v>6767</v>
      </c>
      <c r="B1651" s="39" t="s">
        <v>1921</v>
      </c>
      <c r="C1651" s="40" t="s">
        <v>1075</v>
      </c>
      <c r="D1651" s="74" t="s">
        <v>1269</v>
      </c>
      <c r="E1651" s="74" t="s">
        <v>1266</v>
      </c>
      <c r="F1651" s="74" t="s">
        <v>1268</v>
      </c>
      <c r="G1651" s="74" t="s">
        <v>1267</v>
      </c>
    </row>
    <row r="1652" spans="1:7" x14ac:dyDescent="0.2">
      <c r="A1652" s="40">
        <v>6771</v>
      </c>
      <c r="B1652" s="39" t="s">
        <v>2425</v>
      </c>
      <c r="C1652" s="40" t="s">
        <v>1075</v>
      </c>
      <c r="D1652" s="74" t="s">
        <v>1269</v>
      </c>
      <c r="E1652" s="74" t="s">
        <v>1266</v>
      </c>
      <c r="F1652" s="74" t="s">
        <v>1268</v>
      </c>
      <c r="G1652" s="74" t="s">
        <v>1267</v>
      </c>
    </row>
    <row r="1653" spans="1:7" x14ac:dyDescent="0.2">
      <c r="A1653" s="40">
        <v>6773</v>
      </c>
      <c r="B1653" s="39" t="s">
        <v>2426</v>
      </c>
      <c r="C1653" s="40" t="s">
        <v>1075</v>
      </c>
      <c r="D1653" s="74" t="s">
        <v>1269</v>
      </c>
      <c r="E1653" s="74" t="s">
        <v>1266</v>
      </c>
      <c r="F1653" s="74" t="s">
        <v>1268</v>
      </c>
      <c r="G1653" s="74" t="s">
        <v>1268</v>
      </c>
    </row>
    <row r="1654" spans="1:7" x14ac:dyDescent="0.2">
      <c r="A1654" s="40">
        <v>6774</v>
      </c>
      <c r="B1654" s="39" t="s">
        <v>2427</v>
      </c>
      <c r="C1654" s="40" t="s">
        <v>1075</v>
      </c>
      <c r="D1654" s="74" t="s">
        <v>1269</v>
      </c>
      <c r="E1654" s="74" t="s">
        <v>1266</v>
      </c>
      <c r="F1654" s="74" t="s">
        <v>1268</v>
      </c>
      <c r="G1654" s="74" t="s">
        <v>1268</v>
      </c>
    </row>
    <row r="1655" spans="1:7" x14ac:dyDescent="0.2">
      <c r="A1655" s="40">
        <v>6780</v>
      </c>
      <c r="B1655" s="39" t="s">
        <v>2428</v>
      </c>
      <c r="C1655" s="40" t="s">
        <v>1075</v>
      </c>
      <c r="D1655" s="74" t="s">
        <v>1269</v>
      </c>
      <c r="E1655" s="74" t="s">
        <v>1266</v>
      </c>
      <c r="F1655" s="74" t="s">
        <v>1268</v>
      </c>
      <c r="G1655" s="74" t="s">
        <v>1268</v>
      </c>
    </row>
    <row r="1656" spans="1:7" x14ac:dyDescent="0.2">
      <c r="A1656" s="40">
        <v>6787</v>
      </c>
      <c r="B1656" s="39" t="s">
        <v>166</v>
      </c>
      <c r="C1656" s="40" t="s">
        <v>1075</v>
      </c>
      <c r="D1656" s="74" t="s">
        <v>1269</v>
      </c>
      <c r="E1656" s="74" t="s">
        <v>1266</v>
      </c>
      <c r="F1656" s="74" t="s">
        <v>1268</v>
      </c>
      <c r="G1656" s="74" t="s">
        <v>1267</v>
      </c>
    </row>
    <row r="1657" spans="1:7" x14ac:dyDescent="0.2">
      <c r="A1657" s="40">
        <v>6791</v>
      </c>
      <c r="B1657" s="39" t="s">
        <v>2429</v>
      </c>
      <c r="C1657" s="40" t="s">
        <v>1075</v>
      </c>
      <c r="D1657" s="74" t="s">
        <v>1269</v>
      </c>
      <c r="E1657" s="74" t="s">
        <v>1266</v>
      </c>
      <c r="F1657" s="74" t="s">
        <v>1268</v>
      </c>
      <c r="G1657" s="74" t="s">
        <v>1268</v>
      </c>
    </row>
    <row r="1658" spans="1:7" x14ac:dyDescent="0.2">
      <c r="A1658" s="40">
        <v>6793</v>
      </c>
      <c r="B1658" s="39" t="s">
        <v>2430</v>
      </c>
      <c r="C1658" s="40" t="s">
        <v>1075</v>
      </c>
      <c r="D1658" s="74" t="s">
        <v>1269</v>
      </c>
      <c r="E1658" s="74" t="s">
        <v>1266</v>
      </c>
      <c r="F1658" s="74" t="s">
        <v>1268</v>
      </c>
      <c r="G1658" s="74" t="s">
        <v>1268</v>
      </c>
    </row>
    <row r="1659" spans="1:7" x14ac:dyDescent="0.2">
      <c r="A1659" s="40">
        <v>6794</v>
      </c>
      <c r="B1659" s="39" t="s">
        <v>2431</v>
      </c>
      <c r="C1659" s="40" t="s">
        <v>1075</v>
      </c>
      <c r="D1659" s="74" t="s">
        <v>1269</v>
      </c>
      <c r="E1659" s="74" t="s">
        <v>1266</v>
      </c>
      <c r="F1659" s="74" t="s">
        <v>1268</v>
      </c>
      <c r="G1659" s="74" t="s">
        <v>1267</v>
      </c>
    </row>
    <row r="1660" spans="1:7" x14ac:dyDescent="0.2">
      <c r="A1660" s="40">
        <v>6800</v>
      </c>
      <c r="B1660" s="39" t="s">
        <v>152</v>
      </c>
      <c r="C1660" s="40" t="s">
        <v>1075</v>
      </c>
      <c r="D1660" s="74" t="s">
        <v>1269</v>
      </c>
      <c r="E1660" s="74" t="s">
        <v>1266</v>
      </c>
      <c r="F1660" s="74" t="s">
        <v>1268</v>
      </c>
      <c r="G1660" s="74" t="s">
        <v>1268</v>
      </c>
    </row>
    <row r="1661" spans="1:7" x14ac:dyDescent="0.2">
      <c r="A1661" s="40">
        <v>6801</v>
      </c>
      <c r="B1661" s="39" t="s">
        <v>2432</v>
      </c>
      <c r="C1661" s="40" t="s">
        <v>1075</v>
      </c>
      <c r="D1661" s="74" t="s">
        <v>1271</v>
      </c>
      <c r="E1661" s="74" t="s">
        <v>1266</v>
      </c>
      <c r="F1661" s="74" t="s">
        <v>1267</v>
      </c>
      <c r="G1661" s="74" t="s">
        <v>1268</v>
      </c>
    </row>
    <row r="1662" spans="1:7" x14ac:dyDescent="0.2">
      <c r="A1662" s="40">
        <v>6803</v>
      </c>
      <c r="B1662" s="39" t="s">
        <v>152</v>
      </c>
      <c r="C1662" s="40" t="s">
        <v>1075</v>
      </c>
      <c r="D1662" s="74" t="s">
        <v>1271</v>
      </c>
      <c r="E1662" s="74" t="s">
        <v>1266</v>
      </c>
      <c r="F1662" s="74" t="s">
        <v>1267</v>
      </c>
      <c r="G1662" s="74" t="s">
        <v>1268</v>
      </c>
    </row>
    <row r="1663" spans="1:7" x14ac:dyDescent="0.2">
      <c r="A1663" s="40">
        <v>6804</v>
      </c>
      <c r="B1663" s="39" t="s">
        <v>2433</v>
      </c>
      <c r="C1663" s="40" t="s">
        <v>1075</v>
      </c>
      <c r="D1663" s="74" t="s">
        <v>1271</v>
      </c>
      <c r="E1663" s="74" t="s">
        <v>1266</v>
      </c>
      <c r="F1663" s="74" t="s">
        <v>1267</v>
      </c>
      <c r="G1663" s="74" t="s">
        <v>1268</v>
      </c>
    </row>
    <row r="1664" spans="1:7" x14ac:dyDescent="0.2">
      <c r="A1664" s="40">
        <v>6805</v>
      </c>
      <c r="B1664" s="39" t="s">
        <v>2434</v>
      </c>
      <c r="C1664" s="40" t="s">
        <v>1075</v>
      </c>
      <c r="D1664" s="74" t="s">
        <v>1271</v>
      </c>
      <c r="E1664" s="74" t="s">
        <v>1266</v>
      </c>
      <c r="F1664" s="74" t="s">
        <v>1267</v>
      </c>
      <c r="G1664" s="74" t="s">
        <v>1268</v>
      </c>
    </row>
    <row r="1665" spans="1:7" x14ac:dyDescent="0.2">
      <c r="A1665" s="40">
        <v>6806</v>
      </c>
      <c r="B1665" s="39" t="s">
        <v>2435</v>
      </c>
      <c r="C1665" s="40" t="s">
        <v>1075</v>
      </c>
      <c r="D1665" s="74" t="s">
        <v>1271</v>
      </c>
      <c r="E1665" s="74" t="s">
        <v>1266</v>
      </c>
      <c r="F1665" s="74" t="s">
        <v>1267</v>
      </c>
      <c r="G1665" s="74" t="s">
        <v>1268</v>
      </c>
    </row>
    <row r="1666" spans="1:7" x14ac:dyDescent="0.2">
      <c r="A1666" s="40">
        <v>6807</v>
      </c>
      <c r="B1666" s="39" t="s">
        <v>2437</v>
      </c>
      <c r="C1666" s="40" t="s">
        <v>1075</v>
      </c>
      <c r="D1666" s="74" t="s">
        <v>1271</v>
      </c>
      <c r="E1666" s="74" t="s">
        <v>1266</v>
      </c>
      <c r="F1666" s="74" t="s">
        <v>1267</v>
      </c>
      <c r="G1666" s="74" t="s">
        <v>1268</v>
      </c>
    </row>
    <row r="1667" spans="1:7" x14ac:dyDescent="0.2">
      <c r="A1667" s="40">
        <v>6811</v>
      </c>
      <c r="B1667" s="39" t="s">
        <v>2438</v>
      </c>
      <c r="C1667" s="40" t="s">
        <v>1075</v>
      </c>
      <c r="D1667" s="74" t="s">
        <v>1269</v>
      </c>
      <c r="E1667" s="74" t="s">
        <v>1266</v>
      </c>
      <c r="F1667" s="74" t="s">
        <v>1268</v>
      </c>
      <c r="G1667" s="74" t="s">
        <v>1267</v>
      </c>
    </row>
    <row r="1668" spans="1:7" x14ac:dyDescent="0.2">
      <c r="A1668" s="40">
        <v>6812</v>
      </c>
      <c r="B1668" s="39" t="s">
        <v>2439</v>
      </c>
      <c r="C1668" s="40" t="s">
        <v>1075</v>
      </c>
      <c r="D1668" s="74" t="s">
        <v>1269</v>
      </c>
      <c r="E1668" s="74" t="s">
        <v>1266</v>
      </c>
      <c r="F1668" s="74" t="s">
        <v>1268</v>
      </c>
      <c r="G1668" s="74" t="s">
        <v>1267</v>
      </c>
    </row>
    <row r="1669" spans="1:7" x14ac:dyDescent="0.2">
      <c r="A1669" s="40">
        <v>6820</v>
      </c>
      <c r="B1669" s="39" t="s">
        <v>2440</v>
      </c>
      <c r="C1669" s="40" t="s">
        <v>1075</v>
      </c>
      <c r="D1669" s="74" t="s">
        <v>1269</v>
      </c>
      <c r="E1669" s="74" t="s">
        <v>1266</v>
      </c>
      <c r="F1669" s="74" t="s">
        <v>1268</v>
      </c>
      <c r="G1669" s="74" t="s">
        <v>1268</v>
      </c>
    </row>
    <row r="1670" spans="1:7" x14ac:dyDescent="0.2">
      <c r="A1670" s="40">
        <v>6822</v>
      </c>
      <c r="B1670" s="39" t="s">
        <v>2441</v>
      </c>
      <c r="C1670" s="40" t="s">
        <v>1075</v>
      </c>
      <c r="D1670" s="74" t="s">
        <v>1269</v>
      </c>
      <c r="E1670" s="74" t="s">
        <v>1266</v>
      </c>
      <c r="F1670" s="74" t="s">
        <v>1268</v>
      </c>
      <c r="G1670" s="74" t="s">
        <v>1268</v>
      </c>
    </row>
    <row r="1671" spans="1:7" x14ac:dyDescent="0.2">
      <c r="A1671" s="40">
        <v>6824</v>
      </c>
      <c r="B1671" s="39" t="s">
        <v>2442</v>
      </c>
      <c r="C1671" s="40" t="s">
        <v>1075</v>
      </c>
      <c r="D1671" s="74" t="s">
        <v>1269</v>
      </c>
      <c r="E1671" s="74" t="s">
        <v>1266</v>
      </c>
      <c r="F1671" s="74" t="s">
        <v>1268</v>
      </c>
      <c r="G1671" s="74" t="s">
        <v>1267</v>
      </c>
    </row>
    <row r="1672" spans="1:7" x14ac:dyDescent="0.2">
      <c r="A1672" s="40">
        <v>6830</v>
      </c>
      <c r="B1672" s="39" t="s">
        <v>2443</v>
      </c>
      <c r="C1672" s="40" t="s">
        <v>1075</v>
      </c>
      <c r="D1672" s="74" t="s">
        <v>1269</v>
      </c>
      <c r="E1672" s="74" t="s">
        <v>1266</v>
      </c>
      <c r="F1672" s="74" t="s">
        <v>1268</v>
      </c>
      <c r="G1672" s="74" t="s">
        <v>1268</v>
      </c>
    </row>
    <row r="1673" spans="1:7" x14ac:dyDescent="0.2">
      <c r="A1673" s="40">
        <v>6832</v>
      </c>
      <c r="B1673" s="39" t="s">
        <v>2444</v>
      </c>
      <c r="C1673" s="40" t="s">
        <v>1075</v>
      </c>
      <c r="D1673" s="74" t="s">
        <v>1269</v>
      </c>
      <c r="E1673" s="74" t="s">
        <v>1266</v>
      </c>
      <c r="F1673" s="74" t="s">
        <v>1268</v>
      </c>
      <c r="G1673" s="74" t="s">
        <v>1268</v>
      </c>
    </row>
    <row r="1674" spans="1:7" x14ac:dyDescent="0.2">
      <c r="A1674" s="40">
        <v>6833</v>
      </c>
      <c r="B1674" s="39" t="s">
        <v>2445</v>
      </c>
      <c r="C1674" s="40" t="s">
        <v>1075</v>
      </c>
      <c r="D1674" s="74" t="s">
        <v>1269</v>
      </c>
      <c r="E1674" s="74" t="s">
        <v>1266</v>
      </c>
      <c r="F1674" s="74" t="s">
        <v>1268</v>
      </c>
      <c r="G1674" s="74" t="s">
        <v>1268</v>
      </c>
    </row>
    <row r="1675" spans="1:7" x14ac:dyDescent="0.2">
      <c r="A1675" s="40">
        <v>6834</v>
      </c>
      <c r="B1675" s="39" t="s">
        <v>2446</v>
      </c>
      <c r="C1675" s="40" t="s">
        <v>1075</v>
      </c>
      <c r="D1675" s="74" t="s">
        <v>1269</v>
      </c>
      <c r="E1675" s="74" t="s">
        <v>1266</v>
      </c>
      <c r="F1675" s="74" t="s">
        <v>1268</v>
      </c>
      <c r="G1675" s="74" t="s">
        <v>1267</v>
      </c>
    </row>
    <row r="1676" spans="1:7" x14ac:dyDescent="0.2">
      <c r="A1676" s="40">
        <v>6836</v>
      </c>
      <c r="B1676" s="39" t="s">
        <v>2447</v>
      </c>
      <c r="C1676" s="40" t="s">
        <v>1075</v>
      </c>
      <c r="D1676" s="74" t="s">
        <v>1269</v>
      </c>
      <c r="E1676" s="74" t="s">
        <v>1266</v>
      </c>
      <c r="F1676" s="74" t="s">
        <v>1268</v>
      </c>
      <c r="G1676" s="74" t="s">
        <v>1267</v>
      </c>
    </row>
    <row r="1677" spans="1:7" x14ac:dyDescent="0.2">
      <c r="A1677" s="40">
        <v>6840</v>
      </c>
      <c r="B1677" s="39" t="s">
        <v>2448</v>
      </c>
      <c r="C1677" s="40" t="s">
        <v>1075</v>
      </c>
      <c r="D1677" s="74" t="s">
        <v>1269</v>
      </c>
      <c r="E1677" s="74" t="s">
        <v>1266</v>
      </c>
      <c r="F1677" s="74" t="s">
        <v>1268</v>
      </c>
      <c r="G1677" s="74" t="s">
        <v>1268</v>
      </c>
    </row>
    <row r="1678" spans="1:7" x14ac:dyDescent="0.2">
      <c r="A1678" s="40">
        <v>6841</v>
      </c>
      <c r="B1678" s="39" t="s">
        <v>2449</v>
      </c>
      <c r="C1678" s="40" t="s">
        <v>1075</v>
      </c>
      <c r="D1678" s="74" t="s">
        <v>1269</v>
      </c>
      <c r="E1678" s="74" t="s">
        <v>1266</v>
      </c>
      <c r="F1678" s="74" t="s">
        <v>1268</v>
      </c>
      <c r="G1678" s="74" t="s">
        <v>1268</v>
      </c>
    </row>
    <row r="1679" spans="1:7" x14ac:dyDescent="0.2">
      <c r="A1679" s="40">
        <v>6842</v>
      </c>
      <c r="B1679" s="39" t="s">
        <v>2450</v>
      </c>
      <c r="C1679" s="40" t="s">
        <v>1075</v>
      </c>
      <c r="D1679" s="74" t="s">
        <v>1269</v>
      </c>
      <c r="E1679" s="74" t="s">
        <v>1266</v>
      </c>
      <c r="F1679" s="74" t="s">
        <v>1268</v>
      </c>
      <c r="G1679" s="74" t="s">
        <v>1268</v>
      </c>
    </row>
    <row r="1680" spans="1:7" x14ac:dyDescent="0.2">
      <c r="A1680" s="40">
        <v>6844</v>
      </c>
      <c r="B1680" s="39" t="s">
        <v>2451</v>
      </c>
      <c r="C1680" s="40" t="s">
        <v>1075</v>
      </c>
      <c r="D1680" s="74" t="s">
        <v>1269</v>
      </c>
      <c r="E1680" s="74" t="s">
        <v>1266</v>
      </c>
      <c r="F1680" s="74" t="s">
        <v>1268</v>
      </c>
      <c r="G1680" s="74" t="s">
        <v>1268</v>
      </c>
    </row>
    <row r="1681" spans="1:7" x14ac:dyDescent="0.2">
      <c r="A1681" s="40">
        <v>6845</v>
      </c>
      <c r="B1681" s="39" t="s">
        <v>2452</v>
      </c>
      <c r="C1681" s="40" t="s">
        <v>1075</v>
      </c>
      <c r="D1681" s="74" t="s">
        <v>1269</v>
      </c>
      <c r="E1681" s="74" t="s">
        <v>1266</v>
      </c>
      <c r="F1681" s="74" t="s">
        <v>1268</v>
      </c>
      <c r="G1681" s="74" t="s">
        <v>1268</v>
      </c>
    </row>
    <row r="1682" spans="1:7" x14ac:dyDescent="0.2">
      <c r="A1682" s="40">
        <v>6850</v>
      </c>
      <c r="B1682" s="39" t="s">
        <v>2453</v>
      </c>
      <c r="C1682" s="40" t="s">
        <v>1075</v>
      </c>
      <c r="D1682" s="74" t="s">
        <v>1269</v>
      </c>
      <c r="E1682" s="74" t="s">
        <v>1266</v>
      </c>
      <c r="F1682" s="74" t="s">
        <v>1268</v>
      </c>
      <c r="G1682" s="74" t="s">
        <v>1268</v>
      </c>
    </row>
    <row r="1683" spans="1:7" x14ac:dyDescent="0.2">
      <c r="A1683" s="40">
        <v>6851</v>
      </c>
      <c r="B1683" s="39" t="s">
        <v>2454</v>
      </c>
      <c r="C1683" s="40" t="s">
        <v>1075</v>
      </c>
      <c r="D1683" s="74" t="s">
        <v>1271</v>
      </c>
      <c r="E1683" s="74" t="s">
        <v>1266</v>
      </c>
      <c r="F1683" s="74" t="s">
        <v>1267</v>
      </c>
      <c r="G1683" s="74" t="s">
        <v>1268</v>
      </c>
    </row>
    <row r="1684" spans="1:7" x14ac:dyDescent="0.2">
      <c r="A1684" s="40">
        <v>6852</v>
      </c>
      <c r="B1684" s="39" t="s">
        <v>2455</v>
      </c>
      <c r="C1684" s="40" t="s">
        <v>1075</v>
      </c>
      <c r="D1684" s="74" t="s">
        <v>1271</v>
      </c>
      <c r="E1684" s="74" t="s">
        <v>1266</v>
      </c>
      <c r="F1684" s="74" t="s">
        <v>1267</v>
      </c>
      <c r="G1684" s="74" t="s">
        <v>1268</v>
      </c>
    </row>
    <row r="1685" spans="1:7" x14ac:dyDescent="0.2">
      <c r="A1685" s="40">
        <v>6853</v>
      </c>
      <c r="B1685" s="39" t="s">
        <v>2456</v>
      </c>
      <c r="C1685" s="40" t="s">
        <v>1075</v>
      </c>
      <c r="D1685" s="74" t="s">
        <v>1271</v>
      </c>
      <c r="E1685" s="74" t="s">
        <v>1266</v>
      </c>
      <c r="F1685" s="74" t="s">
        <v>1267</v>
      </c>
      <c r="G1685" s="74" t="s">
        <v>1268</v>
      </c>
    </row>
    <row r="1686" spans="1:7" x14ac:dyDescent="0.2">
      <c r="A1686" s="40">
        <v>6854</v>
      </c>
      <c r="B1686" s="39" t="s">
        <v>2457</v>
      </c>
      <c r="C1686" s="40" t="s">
        <v>1075</v>
      </c>
      <c r="D1686" s="74" t="s">
        <v>1271</v>
      </c>
      <c r="E1686" s="74" t="s">
        <v>1266</v>
      </c>
      <c r="F1686" s="74" t="s">
        <v>1267</v>
      </c>
      <c r="G1686" s="74" t="s">
        <v>1268</v>
      </c>
    </row>
    <row r="1687" spans="1:7" x14ac:dyDescent="0.2">
      <c r="A1687" s="40">
        <v>6857</v>
      </c>
      <c r="B1687" s="39" t="s">
        <v>2458</v>
      </c>
      <c r="C1687" s="40" t="s">
        <v>1075</v>
      </c>
      <c r="D1687" s="74" t="s">
        <v>1271</v>
      </c>
      <c r="E1687" s="74" t="s">
        <v>1266</v>
      </c>
      <c r="F1687" s="74" t="s">
        <v>1267</v>
      </c>
      <c r="G1687" s="74" t="s">
        <v>1268</v>
      </c>
    </row>
    <row r="1688" spans="1:7" x14ac:dyDescent="0.2">
      <c r="A1688" s="40">
        <v>6858</v>
      </c>
      <c r="B1688" s="39" t="s">
        <v>2459</v>
      </c>
      <c r="C1688" s="40" t="s">
        <v>1075</v>
      </c>
      <c r="D1688" s="74" t="s">
        <v>1269</v>
      </c>
      <c r="E1688" s="74" t="s">
        <v>1266</v>
      </c>
      <c r="F1688" s="74" t="s">
        <v>1268</v>
      </c>
      <c r="G1688" s="74" t="s">
        <v>1268</v>
      </c>
    </row>
    <row r="1689" spans="1:7" x14ac:dyDescent="0.2">
      <c r="A1689" s="40">
        <v>6861</v>
      </c>
      <c r="B1689" s="39" t="s">
        <v>2460</v>
      </c>
      <c r="C1689" s="40" t="s">
        <v>1075</v>
      </c>
      <c r="D1689" s="74" t="s">
        <v>1269</v>
      </c>
      <c r="E1689" s="74" t="s">
        <v>1266</v>
      </c>
      <c r="F1689" s="74" t="s">
        <v>1268</v>
      </c>
      <c r="G1689" s="74" t="s">
        <v>1268</v>
      </c>
    </row>
    <row r="1690" spans="1:7" x14ac:dyDescent="0.2">
      <c r="A1690" s="40">
        <v>6863</v>
      </c>
      <c r="B1690" s="39" t="s">
        <v>2461</v>
      </c>
      <c r="C1690" s="40" t="s">
        <v>1075</v>
      </c>
      <c r="D1690" s="74" t="s">
        <v>1269</v>
      </c>
      <c r="E1690" s="74" t="s">
        <v>1266</v>
      </c>
      <c r="F1690" s="74" t="s">
        <v>1268</v>
      </c>
      <c r="G1690" s="74" t="s">
        <v>1268</v>
      </c>
    </row>
    <row r="1691" spans="1:7" x14ac:dyDescent="0.2">
      <c r="A1691" s="40">
        <v>6866</v>
      </c>
      <c r="B1691" s="39" t="s">
        <v>2462</v>
      </c>
      <c r="C1691" s="40" t="s">
        <v>1075</v>
      </c>
      <c r="D1691" s="74" t="s">
        <v>1269</v>
      </c>
      <c r="E1691" s="74" t="s">
        <v>1266</v>
      </c>
      <c r="F1691" s="74" t="s">
        <v>1268</v>
      </c>
      <c r="G1691" s="74" t="s">
        <v>1267</v>
      </c>
    </row>
    <row r="1692" spans="1:7" x14ac:dyDescent="0.2">
      <c r="A1692" s="40">
        <v>6867</v>
      </c>
      <c r="B1692" s="39" t="s">
        <v>2463</v>
      </c>
      <c r="C1692" s="40" t="s">
        <v>1075</v>
      </c>
      <c r="D1692" s="74" t="s">
        <v>1269</v>
      </c>
      <c r="E1692" s="74" t="s">
        <v>1266</v>
      </c>
      <c r="F1692" s="74" t="s">
        <v>1268</v>
      </c>
      <c r="G1692" s="74" t="s">
        <v>1267</v>
      </c>
    </row>
    <row r="1693" spans="1:7" x14ac:dyDescent="0.2">
      <c r="A1693" s="40">
        <v>6870</v>
      </c>
      <c r="B1693" s="39" t="s">
        <v>2464</v>
      </c>
      <c r="C1693" s="40" t="s">
        <v>1075</v>
      </c>
      <c r="D1693" s="74" t="s">
        <v>1269</v>
      </c>
      <c r="E1693" s="74" t="s">
        <v>1266</v>
      </c>
      <c r="F1693" s="74" t="s">
        <v>1268</v>
      </c>
      <c r="G1693" s="74" t="s">
        <v>1268</v>
      </c>
    </row>
    <row r="1694" spans="1:7" x14ac:dyDescent="0.2">
      <c r="A1694" s="40">
        <v>6874</v>
      </c>
      <c r="B1694" s="39" t="s">
        <v>2465</v>
      </c>
      <c r="C1694" s="40" t="s">
        <v>1075</v>
      </c>
      <c r="D1694" s="74" t="s">
        <v>1269</v>
      </c>
      <c r="E1694" s="74" t="s">
        <v>1266</v>
      </c>
      <c r="F1694" s="74" t="s">
        <v>1268</v>
      </c>
      <c r="G1694" s="74" t="s">
        <v>1267</v>
      </c>
    </row>
    <row r="1695" spans="1:7" x14ac:dyDescent="0.2">
      <c r="A1695" s="40">
        <v>6881</v>
      </c>
      <c r="B1695" s="39" t="s">
        <v>2466</v>
      </c>
      <c r="C1695" s="40" t="s">
        <v>1075</v>
      </c>
      <c r="D1695" s="74" t="s">
        <v>1269</v>
      </c>
      <c r="E1695" s="74" t="s">
        <v>1266</v>
      </c>
      <c r="F1695" s="74" t="s">
        <v>1268</v>
      </c>
      <c r="G1695" s="74" t="s">
        <v>1268</v>
      </c>
    </row>
    <row r="1696" spans="1:7" x14ac:dyDescent="0.2">
      <c r="A1696" s="40">
        <v>6882</v>
      </c>
      <c r="B1696" s="39" t="s">
        <v>2467</v>
      </c>
      <c r="C1696" s="40" t="s">
        <v>1075</v>
      </c>
      <c r="D1696" s="74" t="s">
        <v>1269</v>
      </c>
      <c r="E1696" s="74" t="s">
        <v>1266</v>
      </c>
      <c r="F1696" s="74" t="s">
        <v>1268</v>
      </c>
      <c r="G1696" s="74" t="s">
        <v>1267</v>
      </c>
    </row>
    <row r="1697" spans="1:7" x14ac:dyDescent="0.2">
      <c r="A1697" s="40">
        <v>6883</v>
      </c>
      <c r="B1697" s="39" t="s">
        <v>2468</v>
      </c>
      <c r="C1697" s="40" t="s">
        <v>1075</v>
      </c>
      <c r="D1697" s="74" t="s">
        <v>1269</v>
      </c>
      <c r="E1697" s="74" t="s">
        <v>1266</v>
      </c>
      <c r="F1697" s="74" t="s">
        <v>1268</v>
      </c>
      <c r="G1697" s="74" t="s">
        <v>1268</v>
      </c>
    </row>
    <row r="1698" spans="1:7" x14ac:dyDescent="0.2">
      <c r="A1698" s="40">
        <v>6884</v>
      </c>
      <c r="B1698" s="39" t="s">
        <v>2469</v>
      </c>
      <c r="C1698" s="40" t="s">
        <v>1075</v>
      </c>
      <c r="D1698" s="74" t="s">
        <v>1269</v>
      </c>
      <c r="E1698" s="74" t="s">
        <v>1266</v>
      </c>
      <c r="F1698" s="74" t="s">
        <v>1268</v>
      </c>
      <c r="G1698" s="74" t="s">
        <v>1267</v>
      </c>
    </row>
    <row r="1699" spans="1:7" x14ac:dyDescent="0.2">
      <c r="A1699" s="40">
        <v>6886</v>
      </c>
      <c r="B1699" s="39" t="s">
        <v>2470</v>
      </c>
      <c r="C1699" s="40" t="s">
        <v>1075</v>
      </c>
      <c r="D1699" s="74" t="s">
        <v>1269</v>
      </c>
      <c r="E1699" s="74" t="s">
        <v>1266</v>
      </c>
      <c r="F1699" s="74" t="s">
        <v>1268</v>
      </c>
      <c r="G1699" s="74" t="s">
        <v>1267</v>
      </c>
    </row>
    <row r="1700" spans="1:7" x14ac:dyDescent="0.2">
      <c r="A1700" s="40">
        <v>6888</v>
      </c>
      <c r="B1700" s="39" t="s">
        <v>2471</v>
      </c>
      <c r="C1700" s="40" t="s">
        <v>1075</v>
      </c>
      <c r="D1700" s="74" t="s">
        <v>1269</v>
      </c>
      <c r="E1700" s="74" t="s">
        <v>1266</v>
      </c>
      <c r="F1700" s="74" t="s">
        <v>1268</v>
      </c>
      <c r="G1700" s="74" t="s">
        <v>1267</v>
      </c>
    </row>
    <row r="1701" spans="1:7" x14ac:dyDescent="0.2">
      <c r="A1701" s="40">
        <v>6890</v>
      </c>
      <c r="B1701" s="39" t="s">
        <v>2472</v>
      </c>
      <c r="C1701" s="40" t="s">
        <v>1075</v>
      </c>
      <c r="D1701" s="74" t="s">
        <v>1269</v>
      </c>
      <c r="E1701" s="74" t="s">
        <v>1266</v>
      </c>
      <c r="F1701" s="74" t="s">
        <v>1268</v>
      </c>
      <c r="G1701" s="74" t="s">
        <v>1268</v>
      </c>
    </row>
    <row r="1702" spans="1:7" x14ac:dyDescent="0.2">
      <c r="A1702" s="40">
        <v>6893</v>
      </c>
      <c r="B1702" s="39" t="s">
        <v>2473</v>
      </c>
      <c r="C1702" s="40" t="s">
        <v>1075</v>
      </c>
      <c r="D1702" s="74" t="s">
        <v>1271</v>
      </c>
      <c r="E1702" s="74" t="s">
        <v>1266</v>
      </c>
      <c r="F1702" s="74" t="s">
        <v>1267</v>
      </c>
      <c r="G1702" s="74" t="s">
        <v>1268</v>
      </c>
    </row>
    <row r="1703" spans="1:7" x14ac:dyDescent="0.2">
      <c r="A1703" s="40">
        <v>6900</v>
      </c>
      <c r="B1703" s="39" t="s">
        <v>2474</v>
      </c>
      <c r="C1703" s="40" t="s">
        <v>1075</v>
      </c>
      <c r="D1703" s="74" t="s">
        <v>1269</v>
      </c>
      <c r="E1703" s="74" t="s">
        <v>1266</v>
      </c>
      <c r="F1703" s="74" t="s">
        <v>1268</v>
      </c>
      <c r="G1703" s="74" t="s">
        <v>1268</v>
      </c>
    </row>
    <row r="1704" spans="1:7" x14ac:dyDescent="0.2">
      <c r="A1704" s="40">
        <v>6901</v>
      </c>
      <c r="B1704" s="39" t="s">
        <v>2475</v>
      </c>
      <c r="C1704" s="40" t="s">
        <v>1075</v>
      </c>
      <c r="D1704" s="74" t="s">
        <v>1271</v>
      </c>
      <c r="E1704" s="74" t="s">
        <v>1266</v>
      </c>
      <c r="F1704" s="74" t="s">
        <v>1267</v>
      </c>
      <c r="G1704" s="74" t="s">
        <v>1268</v>
      </c>
    </row>
    <row r="1705" spans="1:7" x14ac:dyDescent="0.2">
      <c r="A1705" s="40">
        <v>6903</v>
      </c>
      <c r="B1705" s="39" t="s">
        <v>2476</v>
      </c>
      <c r="C1705" s="40" t="s">
        <v>1075</v>
      </c>
      <c r="D1705" s="74" t="s">
        <v>1271</v>
      </c>
      <c r="E1705" s="74" t="s">
        <v>1266</v>
      </c>
      <c r="F1705" s="74" t="s">
        <v>1267</v>
      </c>
      <c r="G1705" s="74" t="s">
        <v>1268</v>
      </c>
    </row>
    <row r="1706" spans="1:7" x14ac:dyDescent="0.2">
      <c r="A1706" s="40">
        <v>6904</v>
      </c>
      <c r="B1706" s="39" t="s">
        <v>2477</v>
      </c>
      <c r="C1706" s="40" t="s">
        <v>1075</v>
      </c>
      <c r="D1706" s="74" t="s">
        <v>1271</v>
      </c>
      <c r="E1706" s="74" t="s">
        <v>1266</v>
      </c>
      <c r="F1706" s="74" t="s">
        <v>1267</v>
      </c>
      <c r="G1706" s="74" t="s">
        <v>1268</v>
      </c>
    </row>
    <row r="1707" spans="1:7" x14ac:dyDescent="0.2">
      <c r="A1707" s="40">
        <v>6905</v>
      </c>
      <c r="B1707" s="39" t="s">
        <v>2478</v>
      </c>
      <c r="C1707" s="40" t="s">
        <v>1075</v>
      </c>
      <c r="D1707" s="74" t="s">
        <v>1271</v>
      </c>
      <c r="E1707" s="74" t="s">
        <v>1266</v>
      </c>
      <c r="F1707" s="74" t="s">
        <v>1267</v>
      </c>
      <c r="G1707" s="74" t="s">
        <v>1268</v>
      </c>
    </row>
    <row r="1708" spans="1:7" x14ac:dyDescent="0.2">
      <c r="A1708" s="40">
        <v>6911</v>
      </c>
      <c r="B1708" s="39" t="s">
        <v>2479</v>
      </c>
      <c r="C1708" s="40" t="s">
        <v>1075</v>
      </c>
      <c r="D1708" s="74" t="s">
        <v>1269</v>
      </c>
      <c r="E1708" s="74" t="s">
        <v>1266</v>
      </c>
      <c r="F1708" s="74" t="s">
        <v>1268</v>
      </c>
      <c r="G1708" s="74" t="s">
        <v>1268</v>
      </c>
    </row>
    <row r="1709" spans="1:7" x14ac:dyDescent="0.2">
      <c r="A1709" s="40">
        <v>6912</v>
      </c>
      <c r="B1709" s="39" t="s">
        <v>2480</v>
      </c>
      <c r="C1709" s="40" t="s">
        <v>1075</v>
      </c>
      <c r="D1709" s="74" t="s">
        <v>1269</v>
      </c>
      <c r="E1709" s="74" t="s">
        <v>1266</v>
      </c>
      <c r="F1709" s="74" t="s">
        <v>1268</v>
      </c>
      <c r="G1709" s="74" t="s">
        <v>1268</v>
      </c>
    </row>
    <row r="1710" spans="1:7" x14ac:dyDescent="0.2">
      <c r="A1710" s="40">
        <v>6914</v>
      </c>
      <c r="B1710" s="39" t="s">
        <v>2481</v>
      </c>
      <c r="C1710" s="40" t="s">
        <v>1075</v>
      </c>
      <c r="D1710" s="74" t="s">
        <v>1269</v>
      </c>
      <c r="E1710" s="74" t="s">
        <v>1266</v>
      </c>
      <c r="F1710" s="74" t="s">
        <v>1268</v>
      </c>
      <c r="G1710" s="74" t="s">
        <v>1267</v>
      </c>
    </row>
    <row r="1711" spans="1:7" x14ac:dyDescent="0.2">
      <c r="A1711" s="40">
        <v>6921</v>
      </c>
      <c r="B1711" s="39" t="s">
        <v>2482</v>
      </c>
      <c r="C1711" s="40" t="s">
        <v>1075</v>
      </c>
      <c r="D1711" s="74" t="s">
        <v>1269</v>
      </c>
      <c r="E1711" s="74" t="s">
        <v>1266</v>
      </c>
      <c r="F1711" s="74" t="s">
        <v>1268</v>
      </c>
      <c r="G1711" s="74" t="s">
        <v>1268</v>
      </c>
    </row>
    <row r="1712" spans="1:7" x14ac:dyDescent="0.2">
      <c r="A1712" s="40">
        <v>6922</v>
      </c>
      <c r="B1712" s="39" t="s">
        <v>2483</v>
      </c>
      <c r="C1712" s="40" t="s">
        <v>1075</v>
      </c>
      <c r="D1712" s="74" t="s">
        <v>1269</v>
      </c>
      <c r="E1712" s="74" t="s">
        <v>1266</v>
      </c>
      <c r="F1712" s="74" t="s">
        <v>1268</v>
      </c>
      <c r="G1712" s="74" t="s">
        <v>1268</v>
      </c>
    </row>
    <row r="1713" spans="1:7" x14ac:dyDescent="0.2">
      <c r="A1713" s="40">
        <v>6923</v>
      </c>
      <c r="B1713" s="39" t="s">
        <v>2484</v>
      </c>
      <c r="C1713" s="40" t="s">
        <v>1075</v>
      </c>
      <c r="D1713" s="74" t="s">
        <v>1269</v>
      </c>
      <c r="E1713" s="74" t="s">
        <v>1266</v>
      </c>
      <c r="F1713" s="74" t="s">
        <v>1268</v>
      </c>
      <c r="G1713" s="74" t="s">
        <v>1268</v>
      </c>
    </row>
    <row r="1714" spans="1:7" x14ac:dyDescent="0.2">
      <c r="A1714" s="40">
        <v>6932</v>
      </c>
      <c r="B1714" s="39" t="s">
        <v>2485</v>
      </c>
      <c r="C1714" s="40" t="s">
        <v>1075</v>
      </c>
      <c r="D1714" s="74" t="s">
        <v>1269</v>
      </c>
      <c r="E1714" s="74" t="s">
        <v>1266</v>
      </c>
      <c r="F1714" s="74" t="s">
        <v>1268</v>
      </c>
      <c r="G1714" s="74" t="s">
        <v>1268</v>
      </c>
    </row>
    <row r="1715" spans="1:7" x14ac:dyDescent="0.2">
      <c r="A1715" s="40">
        <v>6933</v>
      </c>
      <c r="B1715" s="39" t="s">
        <v>2486</v>
      </c>
      <c r="C1715" s="40" t="s">
        <v>1075</v>
      </c>
      <c r="D1715" s="74" t="s">
        <v>1269</v>
      </c>
      <c r="E1715" s="74" t="s">
        <v>1266</v>
      </c>
      <c r="F1715" s="74" t="s">
        <v>1268</v>
      </c>
      <c r="G1715" s="74" t="s">
        <v>1267</v>
      </c>
    </row>
    <row r="1716" spans="1:7" x14ac:dyDescent="0.2">
      <c r="A1716" s="40">
        <v>6934</v>
      </c>
      <c r="B1716" s="39" t="s">
        <v>2487</v>
      </c>
      <c r="C1716" s="40" t="s">
        <v>1075</v>
      </c>
      <c r="D1716" s="74" t="s">
        <v>1269</v>
      </c>
      <c r="E1716" s="74" t="s">
        <v>1266</v>
      </c>
      <c r="F1716" s="74" t="s">
        <v>1268</v>
      </c>
      <c r="G1716" s="74" t="s">
        <v>1267</v>
      </c>
    </row>
    <row r="1717" spans="1:7" x14ac:dyDescent="0.2">
      <c r="A1717" s="40">
        <v>6941</v>
      </c>
      <c r="B1717" s="39" t="s">
        <v>2488</v>
      </c>
      <c r="C1717" s="40" t="s">
        <v>1075</v>
      </c>
      <c r="D1717" s="74" t="s">
        <v>1269</v>
      </c>
      <c r="E1717" s="74" t="s">
        <v>1266</v>
      </c>
      <c r="F1717" s="74" t="s">
        <v>1268</v>
      </c>
      <c r="G1717" s="74" t="s">
        <v>1267</v>
      </c>
    </row>
    <row r="1718" spans="1:7" x14ac:dyDescent="0.2">
      <c r="A1718" s="40">
        <v>6942</v>
      </c>
      <c r="B1718" s="39" t="s">
        <v>1926</v>
      </c>
      <c r="C1718" s="40" t="s">
        <v>1075</v>
      </c>
      <c r="D1718" s="74" t="s">
        <v>1269</v>
      </c>
      <c r="E1718" s="74" t="s">
        <v>1266</v>
      </c>
      <c r="F1718" s="74" t="s">
        <v>1268</v>
      </c>
      <c r="G1718" s="74" t="s">
        <v>1268</v>
      </c>
    </row>
    <row r="1719" spans="1:7" x14ac:dyDescent="0.2">
      <c r="A1719" s="40">
        <v>6943</v>
      </c>
      <c r="B1719" s="39" t="s">
        <v>2489</v>
      </c>
      <c r="C1719" s="40" t="s">
        <v>1075</v>
      </c>
      <c r="D1719" s="74" t="s">
        <v>1269</v>
      </c>
      <c r="E1719" s="74" t="s">
        <v>1266</v>
      </c>
      <c r="F1719" s="74" t="s">
        <v>1268</v>
      </c>
      <c r="G1719" s="74" t="s">
        <v>1267</v>
      </c>
    </row>
    <row r="1720" spans="1:7" x14ac:dyDescent="0.2">
      <c r="A1720" s="40">
        <v>6951</v>
      </c>
      <c r="B1720" s="39" t="s">
        <v>2490</v>
      </c>
      <c r="C1720" s="40" t="s">
        <v>1075</v>
      </c>
      <c r="D1720" s="74" t="s">
        <v>1269</v>
      </c>
      <c r="E1720" s="74" t="s">
        <v>1266</v>
      </c>
      <c r="F1720" s="74" t="s">
        <v>1268</v>
      </c>
      <c r="G1720" s="74" t="s">
        <v>1267</v>
      </c>
    </row>
    <row r="1721" spans="1:7" x14ac:dyDescent="0.2">
      <c r="A1721" s="40">
        <v>6952</v>
      </c>
      <c r="B1721" s="39" t="s">
        <v>2491</v>
      </c>
      <c r="C1721" s="40" t="s">
        <v>1075</v>
      </c>
      <c r="D1721" s="74" t="s">
        <v>1269</v>
      </c>
      <c r="E1721" s="74" t="s">
        <v>1266</v>
      </c>
      <c r="F1721" s="74" t="s">
        <v>1268</v>
      </c>
      <c r="G1721" s="74" t="s">
        <v>1268</v>
      </c>
    </row>
    <row r="1722" spans="1:7" x14ac:dyDescent="0.2">
      <c r="A1722" s="40">
        <v>6960</v>
      </c>
      <c r="B1722" s="39" t="s">
        <v>2492</v>
      </c>
      <c r="C1722" s="40" t="s">
        <v>1075</v>
      </c>
      <c r="D1722" s="74" t="s">
        <v>1269</v>
      </c>
      <c r="E1722" s="74" t="s">
        <v>1266</v>
      </c>
      <c r="F1722" s="74" t="s">
        <v>1268</v>
      </c>
      <c r="G1722" s="74" t="s">
        <v>1268</v>
      </c>
    </row>
    <row r="1723" spans="1:7" x14ac:dyDescent="0.2">
      <c r="A1723" s="40">
        <v>6961</v>
      </c>
      <c r="B1723" s="39" t="s">
        <v>2493</v>
      </c>
      <c r="C1723" s="40" t="s">
        <v>1075</v>
      </c>
      <c r="D1723" s="74" t="s">
        <v>1271</v>
      </c>
      <c r="E1723" s="74" t="s">
        <v>1266</v>
      </c>
      <c r="F1723" s="74" t="s">
        <v>1267</v>
      </c>
      <c r="G1723" s="74" t="s">
        <v>1268</v>
      </c>
    </row>
    <row r="1724" spans="1:7" x14ac:dyDescent="0.2">
      <c r="A1724" s="40">
        <v>6971</v>
      </c>
      <c r="B1724" s="39" t="s">
        <v>2494</v>
      </c>
      <c r="C1724" s="40" t="s">
        <v>1075</v>
      </c>
      <c r="D1724" s="74" t="s">
        <v>1269</v>
      </c>
      <c r="E1724" s="74" t="s">
        <v>1266</v>
      </c>
      <c r="F1724" s="74" t="s">
        <v>1268</v>
      </c>
      <c r="G1724" s="74" t="s">
        <v>1268</v>
      </c>
    </row>
    <row r="1725" spans="1:7" x14ac:dyDescent="0.2">
      <c r="A1725" s="40">
        <v>6972</v>
      </c>
      <c r="B1725" s="39" t="s">
        <v>2495</v>
      </c>
      <c r="C1725" s="40" t="s">
        <v>1075</v>
      </c>
      <c r="D1725" s="74" t="s">
        <v>1269</v>
      </c>
      <c r="E1725" s="74" t="s">
        <v>1266</v>
      </c>
      <c r="F1725" s="74" t="s">
        <v>1268</v>
      </c>
      <c r="G1725" s="74" t="s">
        <v>1268</v>
      </c>
    </row>
    <row r="1726" spans="1:7" x14ac:dyDescent="0.2">
      <c r="A1726" s="40">
        <v>6973</v>
      </c>
      <c r="B1726" s="39" t="s">
        <v>2496</v>
      </c>
      <c r="C1726" s="40" t="s">
        <v>1075</v>
      </c>
      <c r="D1726" s="74" t="s">
        <v>1269</v>
      </c>
      <c r="E1726" s="74" t="s">
        <v>1266</v>
      </c>
      <c r="F1726" s="74" t="s">
        <v>1268</v>
      </c>
      <c r="G1726" s="74" t="s">
        <v>1268</v>
      </c>
    </row>
    <row r="1727" spans="1:7" x14ac:dyDescent="0.2">
      <c r="A1727" s="40">
        <v>6974</v>
      </c>
      <c r="B1727" s="39" t="s">
        <v>2497</v>
      </c>
      <c r="C1727" s="40" t="s">
        <v>1075</v>
      </c>
      <c r="D1727" s="74" t="s">
        <v>1269</v>
      </c>
      <c r="E1727" s="74" t="s">
        <v>1266</v>
      </c>
      <c r="F1727" s="74" t="s">
        <v>1268</v>
      </c>
      <c r="G1727" s="74" t="s">
        <v>1268</v>
      </c>
    </row>
    <row r="1728" spans="1:7" x14ac:dyDescent="0.2">
      <c r="A1728" s="40">
        <v>6991</v>
      </c>
      <c r="B1728" s="39" t="s">
        <v>2498</v>
      </c>
      <c r="C1728" s="40" t="s">
        <v>1075</v>
      </c>
      <c r="D1728" s="74" t="s">
        <v>1269</v>
      </c>
      <c r="E1728" s="74" t="s">
        <v>1266</v>
      </c>
      <c r="F1728" s="74" t="s">
        <v>1268</v>
      </c>
      <c r="G1728" s="74" t="s">
        <v>1268</v>
      </c>
    </row>
    <row r="1729" spans="1:7" x14ac:dyDescent="0.2">
      <c r="A1729" s="40">
        <v>6992</v>
      </c>
      <c r="B1729" s="39" t="s">
        <v>2499</v>
      </c>
      <c r="C1729" s="40" t="s">
        <v>1075</v>
      </c>
      <c r="D1729" s="74" t="s">
        <v>1269</v>
      </c>
      <c r="E1729" s="74" t="s">
        <v>1266</v>
      </c>
      <c r="F1729" s="74" t="s">
        <v>1268</v>
      </c>
      <c r="G1729" s="74" t="s">
        <v>1268</v>
      </c>
    </row>
    <row r="1730" spans="1:7" x14ac:dyDescent="0.2">
      <c r="A1730" s="40">
        <v>6993</v>
      </c>
      <c r="B1730" s="39" t="s">
        <v>2500</v>
      </c>
      <c r="C1730" s="40" t="s">
        <v>1075</v>
      </c>
      <c r="D1730" s="74" t="s">
        <v>1269</v>
      </c>
      <c r="E1730" s="74" t="s">
        <v>1266</v>
      </c>
      <c r="F1730" s="74" t="s">
        <v>1268</v>
      </c>
      <c r="G1730" s="74" t="s">
        <v>1267</v>
      </c>
    </row>
    <row r="1731" spans="1:7" x14ac:dyDescent="0.2">
      <c r="A1731" s="40">
        <v>7000</v>
      </c>
      <c r="B1731" s="39" t="s">
        <v>148</v>
      </c>
      <c r="C1731" s="40" t="s">
        <v>1805</v>
      </c>
      <c r="D1731" s="74" t="s">
        <v>1269</v>
      </c>
      <c r="E1731" s="74" t="s">
        <v>1266</v>
      </c>
      <c r="F1731" s="74" t="s">
        <v>1268</v>
      </c>
      <c r="G1731" s="74" t="s">
        <v>1268</v>
      </c>
    </row>
    <row r="1732" spans="1:7" x14ac:dyDescent="0.2">
      <c r="A1732" s="40">
        <v>7001</v>
      </c>
      <c r="B1732" s="39" t="s">
        <v>2501</v>
      </c>
      <c r="C1732" s="40" t="s">
        <v>1805</v>
      </c>
      <c r="D1732" s="74" t="s">
        <v>1271</v>
      </c>
      <c r="E1732" s="74" t="s">
        <v>1266</v>
      </c>
      <c r="F1732" s="74" t="s">
        <v>1267</v>
      </c>
      <c r="G1732" s="74" t="s">
        <v>1268</v>
      </c>
    </row>
    <row r="1733" spans="1:7" x14ac:dyDescent="0.2">
      <c r="A1733" s="40">
        <v>7002</v>
      </c>
      <c r="B1733" s="39" t="s">
        <v>148</v>
      </c>
      <c r="C1733" s="40" t="s">
        <v>1805</v>
      </c>
      <c r="D1733" s="74" t="s">
        <v>1271</v>
      </c>
      <c r="E1733" s="74" t="s">
        <v>1266</v>
      </c>
      <c r="F1733" s="74" t="s">
        <v>1267</v>
      </c>
      <c r="G1733" s="74" t="s">
        <v>1268</v>
      </c>
    </row>
    <row r="1734" spans="1:7" x14ac:dyDescent="0.2">
      <c r="A1734" s="40">
        <v>7011</v>
      </c>
      <c r="B1734" s="39" t="s">
        <v>2502</v>
      </c>
      <c r="C1734" s="40" t="s">
        <v>1805</v>
      </c>
      <c r="D1734" s="74" t="s">
        <v>1269</v>
      </c>
      <c r="E1734" s="74" t="s">
        <v>1266</v>
      </c>
      <c r="F1734" s="74" t="s">
        <v>1268</v>
      </c>
      <c r="G1734" s="74" t="s">
        <v>1267</v>
      </c>
    </row>
    <row r="1735" spans="1:7" x14ac:dyDescent="0.2">
      <c r="A1735" s="40">
        <v>7013</v>
      </c>
      <c r="B1735" s="39" t="s">
        <v>2503</v>
      </c>
      <c r="C1735" s="40" t="s">
        <v>1805</v>
      </c>
      <c r="D1735" s="74" t="s">
        <v>1269</v>
      </c>
      <c r="E1735" s="74" t="s">
        <v>1266</v>
      </c>
      <c r="F1735" s="74" t="s">
        <v>1268</v>
      </c>
      <c r="G1735" s="74" t="s">
        <v>1268</v>
      </c>
    </row>
    <row r="1736" spans="1:7" x14ac:dyDescent="0.2">
      <c r="A1736" s="40">
        <v>7021</v>
      </c>
      <c r="B1736" s="39" t="s">
        <v>2504</v>
      </c>
      <c r="C1736" s="40" t="s">
        <v>1805</v>
      </c>
      <c r="D1736" s="74" t="s">
        <v>1269</v>
      </c>
      <c r="E1736" s="74" t="s">
        <v>1266</v>
      </c>
      <c r="F1736" s="74" t="s">
        <v>1268</v>
      </c>
      <c r="G1736" s="74" t="s">
        <v>1268</v>
      </c>
    </row>
    <row r="1737" spans="1:7" x14ac:dyDescent="0.2">
      <c r="A1737" s="40">
        <v>7022</v>
      </c>
      <c r="B1737" s="39" t="s">
        <v>2505</v>
      </c>
      <c r="C1737" s="40" t="s">
        <v>1805</v>
      </c>
      <c r="D1737" s="74" t="s">
        <v>1269</v>
      </c>
      <c r="E1737" s="74" t="s">
        <v>1266</v>
      </c>
      <c r="F1737" s="74" t="s">
        <v>1268</v>
      </c>
      <c r="G1737" s="74" t="s">
        <v>1268</v>
      </c>
    </row>
    <row r="1738" spans="1:7" x14ac:dyDescent="0.2">
      <c r="A1738" s="40">
        <v>7023</v>
      </c>
      <c r="B1738" s="39" t="s">
        <v>2506</v>
      </c>
      <c r="C1738" s="40" t="s">
        <v>1805</v>
      </c>
      <c r="D1738" s="74" t="s">
        <v>1269</v>
      </c>
      <c r="E1738" s="74" t="s">
        <v>1266</v>
      </c>
      <c r="F1738" s="74" t="s">
        <v>1268</v>
      </c>
      <c r="G1738" s="74" t="s">
        <v>1267</v>
      </c>
    </row>
    <row r="1739" spans="1:7" x14ac:dyDescent="0.2">
      <c r="A1739" s="40">
        <v>7024</v>
      </c>
      <c r="B1739" s="39" t="s">
        <v>2507</v>
      </c>
      <c r="C1739" s="40" t="s">
        <v>1805</v>
      </c>
      <c r="D1739" s="74" t="s">
        <v>1269</v>
      </c>
      <c r="E1739" s="74" t="s">
        <v>1266</v>
      </c>
      <c r="F1739" s="74" t="s">
        <v>1268</v>
      </c>
      <c r="G1739" s="74" t="s">
        <v>1268</v>
      </c>
    </row>
    <row r="1740" spans="1:7" x14ac:dyDescent="0.2">
      <c r="A1740" s="40">
        <v>7031</v>
      </c>
      <c r="B1740" s="39" t="s">
        <v>2508</v>
      </c>
      <c r="C1740" s="40" t="s">
        <v>1805</v>
      </c>
      <c r="D1740" s="74" t="s">
        <v>1269</v>
      </c>
      <c r="E1740" s="74" t="s">
        <v>1266</v>
      </c>
      <c r="F1740" s="74" t="s">
        <v>1268</v>
      </c>
      <c r="G1740" s="74" t="s">
        <v>1267</v>
      </c>
    </row>
    <row r="1741" spans="1:7" x14ac:dyDescent="0.2">
      <c r="A1741" s="40">
        <v>7032</v>
      </c>
      <c r="B1741" s="39" t="s">
        <v>2509</v>
      </c>
      <c r="C1741" s="40" t="s">
        <v>1805</v>
      </c>
      <c r="D1741" s="74" t="s">
        <v>1269</v>
      </c>
      <c r="E1741" s="74" t="s">
        <v>1266</v>
      </c>
      <c r="F1741" s="74" t="s">
        <v>1268</v>
      </c>
      <c r="G1741" s="74" t="s">
        <v>1267</v>
      </c>
    </row>
    <row r="1742" spans="1:7" x14ac:dyDescent="0.2">
      <c r="A1742" s="40">
        <v>7033</v>
      </c>
      <c r="B1742" s="39" t="s">
        <v>2510</v>
      </c>
      <c r="C1742" s="40" t="s">
        <v>1805</v>
      </c>
      <c r="D1742" s="74" t="s">
        <v>1269</v>
      </c>
      <c r="E1742" s="74" t="s">
        <v>1266</v>
      </c>
      <c r="F1742" s="74" t="s">
        <v>1268</v>
      </c>
      <c r="G1742" s="74" t="s">
        <v>1268</v>
      </c>
    </row>
    <row r="1743" spans="1:7" x14ac:dyDescent="0.2">
      <c r="A1743" s="40">
        <v>7034</v>
      </c>
      <c r="B1743" s="39" t="s">
        <v>2511</v>
      </c>
      <c r="C1743" s="40" t="s">
        <v>1805</v>
      </c>
      <c r="D1743" s="74" t="s">
        <v>1269</v>
      </c>
      <c r="E1743" s="74" t="s">
        <v>1266</v>
      </c>
      <c r="F1743" s="74" t="s">
        <v>1268</v>
      </c>
      <c r="G1743" s="74" t="s">
        <v>1267</v>
      </c>
    </row>
    <row r="1744" spans="1:7" x14ac:dyDescent="0.2">
      <c r="A1744" s="40">
        <v>7035</v>
      </c>
      <c r="B1744" s="39" t="s">
        <v>2512</v>
      </c>
      <c r="C1744" s="40" t="s">
        <v>1805</v>
      </c>
      <c r="D1744" s="74" t="s">
        <v>1269</v>
      </c>
      <c r="E1744" s="74" t="s">
        <v>1266</v>
      </c>
      <c r="F1744" s="74" t="s">
        <v>1268</v>
      </c>
      <c r="G1744" s="74" t="s">
        <v>1268</v>
      </c>
    </row>
    <row r="1745" spans="1:7" x14ac:dyDescent="0.2">
      <c r="A1745" s="40">
        <v>7041</v>
      </c>
      <c r="B1745" s="39" t="s">
        <v>2513</v>
      </c>
      <c r="C1745" s="40" t="s">
        <v>1805</v>
      </c>
      <c r="D1745" s="74" t="s">
        <v>1269</v>
      </c>
      <c r="E1745" s="74" t="s">
        <v>1266</v>
      </c>
      <c r="F1745" s="74" t="s">
        <v>1268</v>
      </c>
      <c r="G1745" s="74" t="s">
        <v>1268</v>
      </c>
    </row>
    <row r="1746" spans="1:7" x14ac:dyDescent="0.2">
      <c r="A1746" s="40">
        <v>7051</v>
      </c>
      <c r="B1746" s="39" t="s">
        <v>2514</v>
      </c>
      <c r="C1746" s="40" t="s">
        <v>1805</v>
      </c>
      <c r="D1746" s="74" t="s">
        <v>1269</v>
      </c>
      <c r="E1746" s="74" t="s">
        <v>1266</v>
      </c>
      <c r="F1746" s="74" t="s">
        <v>1268</v>
      </c>
      <c r="G1746" s="74" t="s">
        <v>1267</v>
      </c>
    </row>
    <row r="1747" spans="1:7" x14ac:dyDescent="0.2">
      <c r="A1747" s="40">
        <v>7052</v>
      </c>
      <c r="B1747" s="39" t="s">
        <v>2515</v>
      </c>
      <c r="C1747" s="40" t="s">
        <v>1805</v>
      </c>
      <c r="D1747" s="74" t="s">
        <v>1269</v>
      </c>
      <c r="E1747" s="74" t="s">
        <v>1266</v>
      </c>
      <c r="F1747" s="74" t="s">
        <v>1268</v>
      </c>
      <c r="G1747" s="74" t="s">
        <v>1267</v>
      </c>
    </row>
    <row r="1748" spans="1:7" x14ac:dyDescent="0.2">
      <c r="A1748" s="40">
        <v>7053</v>
      </c>
      <c r="B1748" s="39" t="s">
        <v>2516</v>
      </c>
      <c r="C1748" s="40" t="s">
        <v>1805</v>
      </c>
      <c r="D1748" s="74" t="s">
        <v>1269</v>
      </c>
      <c r="E1748" s="74" t="s">
        <v>1266</v>
      </c>
      <c r="F1748" s="74" t="s">
        <v>1268</v>
      </c>
      <c r="G1748" s="74" t="s">
        <v>1268</v>
      </c>
    </row>
    <row r="1749" spans="1:7" x14ac:dyDescent="0.2">
      <c r="A1749" s="40">
        <v>7061</v>
      </c>
      <c r="B1749" s="39" t="s">
        <v>2517</v>
      </c>
      <c r="C1749" s="40" t="s">
        <v>1805</v>
      </c>
      <c r="D1749" s="74" t="s">
        <v>1269</v>
      </c>
      <c r="E1749" s="74" t="s">
        <v>1266</v>
      </c>
      <c r="F1749" s="74" t="s">
        <v>1268</v>
      </c>
      <c r="G1749" s="74" t="s">
        <v>1267</v>
      </c>
    </row>
    <row r="1750" spans="1:7" x14ac:dyDescent="0.2">
      <c r="A1750" s="40">
        <v>7062</v>
      </c>
      <c r="B1750" s="39" t="s">
        <v>2518</v>
      </c>
      <c r="C1750" s="40" t="s">
        <v>1805</v>
      </c>
      <c r="D1750" s="74" t="s">
        <v>1269</v>
      </c>
      <c r="E1750" s="74" t="s">
        <v>1266</v>
      </c>
      <c r="F1750" s="74" t="s">
        <v>1268</v>
      </c>
      <c r="G1750" s="74" t="s">
        <v>1268</v>
      </c>
    </row>
    <row r="1751" spans="1:7" x14ac:dyDescent="0.2">
      <c r="A1751" s="40">
        <v>7063</v>
      </c>
      <c r="B1751" s="39" t="s">
        <v>2519</v>
      </c>
      <c r="C1751" s="40" t="s">
        <v>1805</v>
      </c>
      <c r="D1751" s="74" t="s">
        <v>1269</v>
      </c>
      <c r="E1751" s="74" t="s">
        <v>1266</v>
      </c>
      <c r="F1751" s="74" t="s">
        <v>1268</v>
      </c>
      <c r="G1751" s="74" t="s">
        <v>1268</v>
      </c>
    </row>
    <row r="1752" spans="1:7" x14ac:dyDescent="0.2">
      <c r="A1752" s="40">
        <v>7064</v>
      </c>
      <c r="B1752" s="39" t="s">
        <v>2520</v>
      </c>
      <c r="C1752" s="40" t="s">
        <v>1805</v>
      </c>
      <c r="D1752" s="74" t="s">
        <v>1269</v>
      </c>
      <c r="E1752" s="74" t="s">
        <v>1266</v>
      </c>
      <c r="F1752" s="74" t="s">
        <v>1268</v>
      </c>
      <c r="G1752" s="74" t="s">
        <v>1267</v>
      </c>
    </row>
    <row r="1753" spans="1:7" x14ac:dyDescent="0.2">
      <c r="A1753" s="40">
        <v>7071</v>
      </c>
      <c r="B1753" s="39" t="s">
        <v>2521</v>
      </c>
      <c r="C1753" s="40" t="s">
        <v>1805</v>
      </c>
      <c r="D1753" s="74" t="s">
        <v>1269</v>
      </c>
      <c r="E1753" s="74" t="s">
        <v>1266</v>
      </c>
      <c r="F1753" s="74" t="s">
        <v>1268</v>
      </c>
      <c r="G1753" s="74" t="s">
        <v>1268</v>
      </c>
    </row>
    <row r="1754" spans="1:7" x14ac:dyDescent="0.2">
      <c r="A1754" s="40">
        <v>7072</v>
      </c>
      <c r="B1754" s="39" t="s">
        <v>2522</v>
      </c>
      <c r="C1754" s="40" t="s">
        <v>1805</v>
      </c>
      <c r="D1754" s="74" t="s">
        <v>1269</v>
      </c>
      <c r="E1754" s="74" t="s">
        <v>1266</v>
      </c>
      <c r="F1754" s="74" t="s">
        <v>1268</v>
      </c>
      <c r="G1754" s="74" t="s">
        <v>1268</v>
      </c>
    </row>
    <row r="1755" spans="1:7" x14ac:dyDescent="0.2">
      <c r="A1755" s="40">
        <v>7073</v>
      </c>
      <c r="B1755" s="39" t="s">
        <v>2523</v>
      </c>
      <c r="C1755" s="40" t="s">
        <v>1805</v>
      </c>
      <c r="D1755" s="74" t="s">
        <v>1265</v>
      </c>
      <c r="E1755" s="74" t="s">
        <v>1266</v>
      </c>
      <c r="F1755" s="74" t="s">
        <v>1267</v>
      </c>
      <c r="G1755" s="74" t="s">
        <v>1268</v>
      </c>
    </row>
    <row r="1756" spans="1:7" x14ac:dyDescent="0.2">
      <c r="A1756" s="40">
        <v>7081</v>
      </c>
      <c r="B1756" s="39" t="s">
        <v>2524</v>
      </c>
      <c r="C1756" s="40" t="s">
        <v>1805</v>
      </c>
      <c r="D1756" s="74" t="s">
        <v>1269</v>
      </c>
      <c r="E1756" s="74" t="s">
        <v>1266</v>
      </c>
      <c r="F1756" s="74" t="s">
        <v>1268</v>
      </c>
      <c r="G1756" s="74" t="s">
        <v>1267</v>
      </c>
    </row>
    <row r="1757" spans="1:7" x14ac:dyDescent="0.2">
      <c r="A1757" s="40">
        <v>7082</v>
      </c>
      <c r="B1757" s="39" t="s">
        <v>2525</v>
      </c>
      <c r="C1757" s="40" t="s">
        <v>1805</v>
      </c>
      <c r="D1757" s="74" t="s">
        <v>1269</v>
      </c>
      <c r="E1757" s="74" t="s">
        <v>1266</v>
      </c>
      <c r="F1757" s="74" t="s">
        <v>1268</v>
      </c>
      <c r="G1757" s="74" t="s">
        <v>1267</v>
      </c>
    </row>
    <row r="1758" spans="1:7" x14ac:dyDescent="0.2">
      <c r="A1758" s="40">
        <v>7083</v>
      </c>
      <c r="B1758" s="39" t="s">
        <v>2526</v>
      </c>
      <c r="C1758" s="40" t="s">
        <v>1805</v>
      </c>
      <c r="D1758" s="74" t="s">
        <v>1269</v>
      </c>
      <c r="E1758" s="74" t="s">
        <v>1266</v>
      </c>
      <c r="F1758" s="74" t="s">
        <v>1268</v>
      </c>
      <c r="G1758" s="74" t="s">
        <v>1268</v>
      </c>
    </row>
    <row r="1759" spans="1:7" x14ac:dyDescent="0.2">
      <c r="A1759" s="40">
        <v>7091</v>
      </c>
      <c r="B1759" s="39" t="s">
        <v>2527</v>
      </c>
      <c r="C1759" s="40" t="s">
        <v>1805</v>
      </c>
      <c r="D1759" s="74" t="s">
        <v>1269</v>
      </c>
      <c r="E1759" s="74" t="s">
        <v>1266</v>
      </c>
      <c r="F1759" s="74" t="s">
        <v>1268</v>
      </c>
      <c r="G1759" s="74" t="s">
        <v>1268</v>
      </c>
    </row>
    <row r="1760" spans="1:7" x14ac:dyDescent="0.2">
      <c r="A1760" s="40">
        <v>7092</v>
      </c>
      <c r="B1760" s="39" t="s">
        <v>2528</v>
      </c>
      <c r="C1760" s="40" t="s">
        <v>1805</v>
      </c>
      <c r="D1760" s="74" t="s">
        <v>1269</v>
      </c>
      <c r="E1760" s="74" t="s">
        <v>1266</v>
      </c>
      <c r="F1760" s="74" t="s">
        <v>1268</v>
      </c>
      <c r="G1760" s="74" t="s">
        <v>1267</v>
      </c>
    </row>
    <row r="1761" spans="1:7" x14ac:dyDescent="0.2">
      <c r="A1761" s="40">
        <v>7093</v>
      </c>
      <c r="B1761" s="39" t="s">
        <v>2529</v>
      </c>
      <c r="C1761" s="40" t="s">
        <v>1805</v>
      </c>
      <c r="D1761" s="74" t="s">
        <v>1269</v>
      </c>
      <c r="E1761" s="74" t="s">
        <v>1266</v>
      </c>
      <c r="F1761" s="74" t="s">
        <v>1268</v>
      </c>
      <c r="G1761" s="74" t="s">
        <v>1267</v>
      </c>
    </row>
    <row r="1762" spans="1:7" x14ac:dyDescent="0.2">
      <c r="A1762" s="40">
        <v>7100</v>
      </c>
      <c r="B1762" s="39" t="s">
        <v>2530</v>
      </c>
      <c r="C1762" s="40" t="s">
        <v>1805</v>
      </c>
      <c r="D1762" s="74" t="s">
        <v>1269</v>
      </c>
      <c r="E1762" s="74" t="s">
        <v>1266</v>
      </c>
      <c r="F1762" s="74" t="s">
        <v>1268</v>
      </c>
      <c r="G1762" s="74" t="s">
        <v>1268</v>
      </c>
    </row>
    <row r="1763" spans="1:7" x14ac:dyDescent="0.2">
      <c r="A1763" s="40">
        <v>7111</v>
      </c>
      <c r="B1763" s="39" t="s">
        <v>2531</v>
      </c>
      <c r="C1763" s="40" t="s">
        <v>1805</v>
      </c>
      <c r="D1763" s="74" t="s">
        <v>1269</v>
      </c>
      <c r="E1763" s="74" t="s">
        <v>1266</v>
      </c>
      <c r="F1763" s="74" t="s">
        <v>1268</v>
      </c>
      <c r="G1763" s="74" t="s">
        <v>1268</v>
      </c>
    </row>
    <row r="1764" spans="1:7" x14ac:dyDescent="0.2">
      <c r="A1764" s="40">
        <v>7121</v>
      </c>
      <c r="B1764" s="39" t="s">
        <v>2532</v>
      </c>
      <c r="C1764" s="40" t="s">
        <v>1805</v>
      </c>
      <c r="D1764" s="74" t="s">
        <v>1269</v>
      </c>
      <c r="E1764" s="74" t="s">
        <v>1266</v>
      </c>
      <c r="F1764" s="74" t="s">
        <v>1268</v>
      </c>
      <c r="G1764" s="74" t="s">
        <v>1267</v>
      </c>
    </row>
    <row r="1765" spans="1:7" x14ac:dyDescent="0.2">
      <c r="A1765" s="40">
        <v>7122</v>
      </c>
      <c r="B1765" s="39" t="s">
        <v>2533</v>
      </c>
      <c r="C1765" s="40" t="s">
        <v>1805</v>
      </c>
      <c r="D1765" s="74" t="s">
        <v>1269</v>
      </c>
      <c r="E1765" s="74" t="s">
        <v>1266</v>
      </c>
      <c r="F1765" s="74" t="s">
        <v>1268</v>
      </c>
      <c r="G1765" s="74" t="s">
        <v>1268</v>
      </c>
    </row>
    <row r="1766" spans="1:7" x14ac:dyDescent="0.2">
      <c r="A1766" s="40">
        <v>7123</v>
      </c>
      <c r="B1766" s="39" t="s">
        <v>2534</v>
      </c>
      <c r="C1766" s="40" t="s">
        <v>1805</v>
      </c>
      <c r="D1766" s="74" t="s">
        <v>1269</v>
      </c>
      <c r="E1766" s="74" t="s">
        <v>1266</v>
      </c>
      <c r="F1766" s="74" t="s">
        <v>1268</v>
      </c>
      <c r="G1766" s="74" t="s">
        <v>1268</v>
      </c>
    </row>
    <row r="1767" spans="1:7" x14ac:dyDescent="0.2">
      <c r="A1767" s="40">
        <v>7131</v>
      </c>
      <c r="B1767" s="39" t="s">
        <v>2535</v>
      </c>
      <c r="C1767" s="40" t="s">
        <v>1805</v>
      </c>
      <c r="D1767" s="74" t="s">
        <v>1269</v>
      </c>
      <c r="E1767" s="74" t="s">
        <v>1266</v>
      </c>
      <c r="F1767" s="74" t="s">
        <v>1268</v>
      </c>
      <c r="G1767" s="74" t="s">
        <v>1268</v>
      </c>
    </row>
    <row r="1768" spans="1:7" x14ac:dyDescent="0.2">
      <c r="A1768" s="40">
        <v>7132</v>
      </c>
      <c r="B1768" s="39" t="s">
        <v>2536</v>
      </c>
      <c r="C1768" s="40" t="s">
        <v>1805</v>
      </c>
      <c r="D1768" s="74" t="s">
        <v>1269</v>
      </c>
      <c r="E1768" s="74" t="s">
        <v>1266</v>
      </c>
      <c r="F1768" s="74" t="s">
        <v>1268</v>
      </c>
      <c r="G1768" s="74" t="s">
        <v>1268</v>
      </c>
    </row>
    <row r="1769" spans="1:7" x14ac:dyDescent="0.2">
      <c r="A1769" s="40">
        <v>7141</v>
      </c>
      <c r="B1769" s="39" t="s">
        <v>2537</v>
      </c>
      <c r="C1769" s="40" t="s">
        <v>1805</v>
      </c>
      <c r="D1769" s="74" t="s">
        <v>1269</v>
      </c>
      <c r="E1769" s="74" t="s">
        <v>1266</v>
      </c>
      <c r="F1769" s="74" t="s">
        <v>1268</v>
      </c>
      <c r="G1769" s="74" t="s">
        <v>1268</v>
      </c>
    </row>
    <row r="1770" spans="1:7" x14ac:dyDescent="0.2">
      <c r="A1770" s="40">
        <v>7142</v>
      </c>
      <c r="B1770" s="39" t="s">
        <v>2538</v>
      </c>
      <c r="C1770" s="40" t="s">
        <v>1805</v>
      </c>
      <c r="D1770" s="74" t="s">
        <v>1269</v>
      </c>
      <c r="E1770" s="74" t="s">
        <v>1266</v>
      </c>
      <c r="F1770" s="74" t="s">
        <v>1268</v>
      </c>
      <c r="G1770" s="74" t="s">
        <v>1268</v>
      </c>
    </row>
    <row r="1771" spans="1:7" x14ac:dyDescent="0.2">
      <c r="A1771" s="40">
        <v>7143</v>
      </c>
      <c r="B1771" s="39" t="s">
        <v>2539</v>
      </c>
      <c r="C1771" s="40" t="s">
        <v>1805</v>
      </c>
      <c r="D1771" s="74" t="s">
        <v>1269</v>
      </c>
      <c r="E1771" s="74" t="s">
        <v>1266</v>
      </c>
      <c r="F1771" s="74" t="s">
        <v>1268</v>
      </c>
      <c r="G1771" s="74" t="s">
        <v>1267</v>
      </c>
    </row>
    <row r="1772" spans="1:7" x14ac:dyDescent="0.2">
      <c r="A1772" s="40">
        <v>7151</v>
      </c>
      <c r="B1772" s="39" t="s">
        <v>2540</v>
      </c>
      <c r="C1772" s="40" t="s">
        <v>1805</v>
      </c>
      <c r="D1772" s="74" t="s">
        <v>1269</v>
      </c>
      <c r="E1772" s="74" t="s">
        <v>1266</v>
      </c>
      <c r="F1772" s="74" t="s">
        <v>1268</v>
      </c>
      <c r="G1772" s="74" t="s">
        <v>1268</v>
      </c>
    </row>
    <row r="1773" spans="1:7" x14ac:dyDescent="0.2">
      <c r="A1773" s="40">
        <v>7152</v>
      </c>
      <c r="B1773" s="39" t="s">
        <v>2541</v>
      </c>
      <c r="C1773" s="40" t="s">
        <v>1805</v>
      </c>
      <c r="D1773" s="74" t="s">
        <v>1269</v>
      </c>
      <c r="E1773" s="74" t="s">
        <v>1266</v>
      </c>
      <c r="F1773" s="74" t="s">
        <v>1268</v>
      </c>
      <c r="G1773" s="74" t="s">
        <v>1268</v>
      </c>
    </row>
    <row r="1774" spans="1:7" x14ac:dyDescent="0.2">
      <c r="A1774" s="40">
        <v>7161</v>
      </c>
      <c r="B1774" s="39" t="s">
        <v>2542</v>
      </c>
      <c r="C1774" s="40" t="s">
        <v>1805</v>
      </c>
      <c r="D1774" s="74" t="s">
        <v>1269</v>
      </c>
      <c r="E1774" s="74" t="s">
        <v>1266</v>
      </c>
      <c r="F1774" s="74" t="s">
        <v>1268</v>
      </c>
      <c r="G1774" s="74" t="s">
        <v>1267</v>
      </c>
    </row>
    <row r="1775" spans="1:7" x14ac:dyDescent="0.2">
      <c r="A1775" s="40">
        <v>7162</v>
      </c>
      <c r="B1775" s="39" t="s">
        <v>2543</v>
      </c>
      <c r="C1775" s="40" t="s">
        <v>1805</v>
      </c>
      <c r="D1775" s="74" t="s">
        <v>1269</v>
      </c>
      <c r="E1775" s="74" t="s">
        <v>1266</v>
      </c>
      <c r="F1775" s="74" t="s">
        <v>1268</v>
      </c>
      <c r="G1775" s="74" t="s">
        <v>1267</v>
      </c>
    </row>
    <row r="1776" spans="1:7" x14ac:dyDescent="0.2">
      <c r="A1776" s="40">
        <v>7163</v>
      </c>
      <c r="B1776" s="39" t="s">
        <v>2544</v>
      </c>
      <c r="C1776" s="40" t="s">
        <v>1805</v>
      </c>
      <c r="D1776" s="74" t="s">
        <v>1269</v>
      </c>
      <c r="E1776" s="74" t="s">
        <v>1266</v>
      </c>
      <c r="F1776" s="74" t="s">
        <v>1268</v>
      </c>
      <c r="G1776" s="74" t="s">
        <v>1268</v>
      </c>
    </row>
    <row r="1777" spans="1:7" x14ac:dyDescent="0.2">
      <c r="A1777" s="40">
        <v>7201</v>
      </c>
      <c r="B1777" s="39" t="s">
        <v>2545</v>
      </c>
      <c r="C1777" s="40" t="s">
        <v>1805</v>
      </c>
      <c r="D1777" s="74" t="s">
        <v>1269</v>
      </c>
      <c r="E1777" s="74" t="s">
        <v>1266</v>
      </c>
      <c r="F1777" s="74" t="s">
        <v>1268</v>
      </c>
      <c r="G1777" s="74" t="s">
        <v>1268</v>
      </c>
    </row>
    <row r="1778" spans="1:7" x14ac:dyDescent="0.2">
      <c r="A1778" s="40">
        <v>7202</v>
      </c>
      <c r="B1778" s="39" t="s">
        <v>2546</v>
      </c>
      <c r="C1778" s="40" t="s">
        <v>1805</v>
      </c>
      <c r="D1778" s="74" t="s">
        <v>1269</v>
      </c>
      <c r="E1778" s="74" t="s">
        <v>1266</v>
      </c>
      <c r="F1778" s="74" t="s">
        <v>1268</v>
      </c>
      <c r="G1778" s="74" t="s">
        <v>1268</v>
      </c>
    </row>
    <row r="1779" spans="1:7" x14ac:dyDescent="0.2">
      <c r="A1779" s="40">
        <v>7203</v>
      </c>
      <c r="B1779" s="39" t="s">
        <v>2547</v>
      </c>
      <c r="C1779" s="40" t="s">
        <v>1805</v>
      </c>
      <c r="D1779" s="74" t="s">
        <v>1269</v>
      </c>
      <c r="E1779" s="74" t="s">
        <v>1266</v>
      </c>
      <c r="F1779" s="74" t="s">
        <v>1268</v>
      </c>
      <c r="G1779" s="74" t="s">
        <v>1267</v>
      </c>
    </row>
    <row r="1780" spans="1:7" x14ac:dyDescent="0.2">
      <c r="A1780" s="40">
        <v>7210</v>
      </c>
      <c r="B1780" s="39" t="s">
        <v>2548</v>
      </c>
      <c r="C1780" s="40" t="s">
        <v>1805</v>
      </c>
      <c r="D1780" s="74" t="s">
        <v>1269</v>
      </c>
      <c r="E1780" s="74" t="s">
        <v>1266</v>
      </c>
      <c r="F1780" s="74" t="s">
        <v>1268</v>
      </c>
      <c r="G1780" s="74" t="s">
        <v>1268</v>
      </c>
    </row>
    <row r="1781" spans="1:7" x14ac:dyDescent="0.2">
      <c r="A1781" s="40">
        <v>7212</v>
      </c>
      <c r="B1781" s="39" t="s">
        <v>2549</v>
      </c>
      <c r="C1781" s="40" t="s">
        <v>1805</v>
      </c>
      <c r="D1781" s="74" t="s">
        <v>1269</v>
      </c>
      <c r="E1781" s="74" t="s">
        <v>1266</v>
      </c>
      <c r="F1781" s="74" t="s">
        <v>1268</v>
      </c>
      <c r="G1781" s="74" t="s">
        <v>1267</v>
      </c>
    </row>
    <row r="1782" spans="1:7" x14ac:dyDescent="0.2">
      <c r="A1782" s="40">
        <v>7221</v>
      </c>
      <c r="B1782" s="39" t="s">
        <v>2550</v>
      </c>
      <c r="C1782" s="40" t="s">
        <v>1805</v>
      </c>
      <c r="D1782" s="74" t="s">
        <v>1269</v>
      </c>
      <c r="E1782" s="74" t="s">
        <v>1266</v>
      </c>
      <c r="F1782" s="74" t="s">
        <v>1268</v>
      </c>
      <c r="G1782" s="74" t="s">
        <v>1267</v>
      </c>
    </row>
    <row r="1783" spans="1:7" x14ac:dyDescent="0.2">
      <c r="A1783" s="40">
        <v>7222</v>
      </c>
      <c r="B1783" s="39" t="s">
        <v>2551</v>
      </c>
      <c r="C1783" s="40" t="s">
        <v>1805</v>
      </c>
      <c r="D1783" s="74" t="s">
        <v>1269</v>
      </c>
      <c r="E1783" s="74" t="s">
        <v>1266</v>
      </c>
      <c r="F1783" s="74" t="s">
        <v>1268</v>
      </c>
      <c r="G1783" s="74" t="s">
        <v>1268</v>
      </c>
    </row>
    <row r="1784" spans="1:7" x14ac:dyDescent="0.2">
      <c r="A1784" s="40">
        <v>7223</v>
      </c>
      <c r="B1784" s="39" t="s">
        <v>2552</v>
      </c>
      <c r="C1784" s="40" t="s">
        <v>1805</v>
      </c>
      <c r="D1784" s="74" t="s">
        <v>1269</v>
      </c>
      <c r="E1784" s="74" t="s">
        <v>1266</v>
      </c>
      <c r="F1784" s="74" t="s">
        <v>1268</v>
      </c>
      <c r="G1784" s="74" t="s">
        <v>1267</v>
      </c>
    </row>
    <row r="1785" spans="1:7" x14ac:dyDescent="0.2">
      <c r="A1785" s="40">
        <v>7301</v>
      </c>
      <c r="B1785" s="39" t="s">
        <v>2553</v>
      </c>
      <c r="C1785" s="40" t="s">
        <v>1805</v>
      </c>
      <c r="D1785" s="74" t="s">
        <v>1269</v>
      </c>
      <c r="E1785" s="74" t="s">
        <v>1266</v>
      </c>
      <c r="F1785" s="74" t="s">
        <v>1268</v>
      </c>
      <c r="G1785" s="74" t="s">
        <v>1268</v>
      </c>
    </row>
    <row r="1786" spans="1:7" x14ac:dyDescent="0.2">
      <c r="A1786" s="40">
        <v>7302</v>
      </c>
      <c r="B1786" s="39" t="s">
        <v>2554</v>
      </c>
      <c r="C1786" s="40" t="s">
        <v>1805</v>
      </c>
      <c r="D1786" s="74" t="s">
        <v>1269</v>
      </c>
      <c r="E1786" s="74" t="s">
        <v>1266</v>
      </c>
      <c r="F1786" s="74" t="s">
        <v>1268</v>
      </c>
      <c r="G1786" s="74" t="s">
        <v>1267</v>
      </c>
    </row>
    <row r="1787" spans="1:7" x14ac:dyDescent="0.2">
      <c r="A1787" s="40">
        <v>7304</v>
      </c>
      <c r="B1787" s="39" t="s">
        <v>2555</v>
      </c>
      <c r="C1787" s="40" t="s">
        <v>1805</v>
      </c>
      <c r="D1787" s="74" t="s">
        <v>1269</v>
      </c>
      <c r="E1787" s="74" t="s">
        <v>1266</v>
      </c>
      <c r="F1787" s="74" t="s">
        <v>1268</v>
      </c>
      <c r="G1787" s="74" t="s">
        <v>1267</v>
      </c>
    </row>
    <row r="1788" spans="1:7" x14ac:dyDescent="0.2">
      <c r="A1788" s="40">
        <v>7311</v>
      </c>
      <c r="B1788" s="39" t="s">
        <v>2556</v>
      </c>
      <c r="C1788" s="40" t="s">
        <v>1805</v>
      </c>
      <c r="D1788" s="74" t="s">
        <v>1269</v>
      </c>
      <c r="E1788" s="74" t="s">
        <v>1266</v>
      </c>
      <c r="F1788" s="74" t="s">
        <v>1268</v>
      </c>
      <c r="G1788" s="74" t="s">
        <v>1267</v>
      </c>
    </row>
    <row r="1789" spans="1:7" x14ac:dyDescent="0.2">
      <c r="A1789" s="40">
        <v>7312</v>
      </c>
      <c r="B1789" s="39" t="s">
        <v>2557</v>
      </c>
      <c r="C1789" s="40" t="s">
        <v>1805</v>
      </c>
      <c r="D1789" s="74" t="s">
        <v>1269</v>
      </c>
      <c r="E1789" s="74" t="s">
        <v>1266</v>
      </c>
      <c r="F1789" s="74" t="s">
        <v>1268</v>
      </c>
      <c r="G1789" s="74" t="s">
        <v>1268</v>
      </c>
    </row>
    <row r="1790" spans="1:7" x14ac:dyDescent="0.2">
      <c r="A1790" s="40">
        <v>7321</v>
      </c>
      <c r="B1790" s="39" t="s">
        <v>2558</v>
      </c>
      <c r="C1790" s="40" t="s">
        <v>1805</v>
      </c>
      <c r="D1790" s="74" t="s">
        <v>1269</v>
      </c>
      <c r="E1790" s="74" t="s">
        <v>1266</v>
      </c>
      <c r="F1790" s="74" t="s">
        <v>1268</v>
      </c>
      <c r="G1790" s="74" t="s">
        <v>1268</v>
      </c>
    </row>
    <row r="1791" spans="1:7" x14ac:dyDescent="0.2">
      <c r="A1791" s="40">
        <v>7322</v>
      </c>
      <c r="B1791" s="39" t="s">
        <v>2559</v>
      </c>
      <c r="C1791" s="40" t="s">
        <v>1805</v>
      </c>
      <c r="D1791" s="74" t="s">
        <v>1269</v>
      </c>
      <c r="E1791" s="74" t="s">
        <v>1266</v>
      </c>
      <c r="F1791" s="74" t="s">
        <v>1268</v>
      </c>
      <c r="G1791" s="74" t="s">
        <v>1267</v>
      </c>
    </row>
    <row r="1792" spans="1:7" x14ac:dyDescent="0.2">
      <c r="A1792" s="40">
        <v>7323</v>
      </c>
      <c r="B1792" s="39" t="s">
        <v>2560</v>
      </c>
      <c r="C1792" s="40" t="s">
        <v>1805</v>
      </c>
      <c r="D1792" s="74" t="s">
        <v>1269</v>
      </c>
      <c r="E1792" s="74" t="s">
        <v>1266</v>
      </c>
      <c r="F1792" s="74" t="s">
        <v>1268</v>
      </c>
      <c r="G1792" s="74" t="s">
        <v>1267</v>
      </c>
    </row>
    <row r="1793" spans="1:7" x14ac:dyDescent="0.2">
      <c r="A1793" s="40">
        <v>7331</v>
      </c>
      <c r="B1793" s="39" t="s">
        <v>2566</v>
      </c>
      <c r="C1793" s="40" t="s">
        <v>1805</v>
      </c>
      <c r="D1793" s="74" t="s">
        <v>1269</v>
      </c>
      <c r="E1793" s="74" t="s">
        <v>1266</v>
      </c>
      <c r="F1793" s="74" t="s">
        <v>1268</v>
      </c>
      <c r="G1793" s="74" t="s">
        <v>1268</v>
      </c>
    </row>
    <row r="1794" spans="1:7" x14ac:dyDescent="0.2">
      <c r="A1794" s="40">
        <v>7332</v>
      </c>
      <c r="B1794" s="39" t="s">
        <v>2567</v>
      </c>
      <c r="C1794" s="40" t="s">
        <v>1805</v>
      </c>
      <c r="D1794" s="74" t="s">
        <v>1269</v>
      </c>
      <c r="E1794" s="74" t="s">
        <v>1266</v>
      </c>
      <c r="F1794" s="74" t="s">
        <v>1268</v>
      </c>
      <c r="G1794" s="74" t="s">
        <v>1268</v>
      </c>
    </row>
    <row r="1795" spans="1:7" x14ac:dyDescent="0.2">
      <c r="A1795" s="40">
        <v>7341</v>
      </c>
      <c r="B1795" s="39" t="s">
        <v>2568</v>
      </c>
      <c r="C1795" s="40" t="s">
        <v>1805</v>
      </c>
      <c r="D1795" s="74" t="s">
        <v>1269</v>
      </c>
      <c r="E1795" s="74" t="s">
        <v>1266</v>
      </c>
      <c r="F1795" s="74" t="s">
        <v>1268</v>
      </c>
      <c r="G1795" s="74" t="s">
        <v>1267</v>
      </c>
    </row>
    <row r="1796" spans="1:7" x14ac:dyDescent="0.2">
      <c r="A1796" s="40">
        <v>7342</v>
      </c>
      <c r="B1796" s="39" t="s">
        <v>2569</v>
      </c>
      <c r="C1796" s="40" t="s">
        <v>1805</v>
      </c>
      <c r="D1796" s="74" t="s">
        <v>1269</v>
      </c>
      <c r="E1796" s="74" t="s">
        <v>1266</v>
      </c>
      <c r="F1796" s="74" t="s">
        <v>1268</v>
      </c>
      <c r="G1796" s="74" t="s">
        <v>1267</v>
      </c>
    </row>
    <row r="1797" spans="1:7" x14ac:dyDescent="0.2">
      <c r="A1797" s="40">
        <v>7343</v>
      </c>
      <c r="B1797" s="39" t="s">
        <v>2570</v>
      </c>
      <c r="C1797" s="40" t="s">
        <v>1805</v>
      </c>
      <c r="D1797" s="74" t="s">
        <v>1269</v>
      </c>
      <c r="E1797" s="74" t="s">
        <v>1266</v>
      </c>
      <c r="F1797" s="74" t="s">
        <v>1268</v>
      </c>
      <c r="G1797" s="74" t="s">
        <v>1267</v>
      </c>
    </row>
    <row r="1798" spans="1:7" x14ac:dyDescent="0.2">
      <c r="A1798" s="40">
        <v>7344</v>
      </c>
      <c r="B1798" s="39" t="s">
        <v>2571</v>
      </c>
      <c r="C1798" s="40" t="s">
        <v>1805</v>
      </c>
      <c r="D1798" s="74" t="s">
        <v>1269</v>
      </c>
      <c r="E1798" s="74" t="s">
        <v>1266</v>
      </c>
      <c r="F1798" s="74" t="s">
        <v>1268</v>
      </c>
      <c r="G1798" s="74" t="s">
        <v>1267</v>
      </c>
    </row>
    <row r="1799" spans="1:7" x14ac:dyDescent="0.2">
      <c r="A1799" s="40">
        <v>7350</v>
      </c>
      <c r="B1799" s="39" t="s">
        <v>2572</v>
      </c>
      <c r="C1799" s="40" t="s">
        <v>1805</v>
      </c>
      <c r="D1799" s="74" t="s">
        <v>1269</v>
      </c>
      <c r="E1799" s="74" t="s">
        <v>1266</v>
      </c>
      <c r="F1799" s="74" t="s">
        <v>1268</v>
      </c>
      <c r="G1799" s="74" t="s">
        <v>1268</v>
      </c>
    </row>
    <row r="1800" spans="1:7" x14ac:dyDescent="0.2">
      <c r="A1800" s="40">
        <v>7361</v>
      </c>
      <c r="B1800" s="39" t="s">
        <v>2573</v>
      </c>
      <c r="C1800" s="40" t="s">
        <v>1805</v>
      </c>
      <c r="D1800" s="74" t="s">
        <v>1269</v>
      </c>
      <c r="E1800" s="74" t="s">
        <v>1266</v>
      </c>
      <c r="F1800" s="74" t="s">
        <v>1268</v>
      </c>
      <c r="G1800" s="74" t="s">
        <v>1267</v>
      </c>
    </row>
    <row r="1801" spans="1:7" x14ac:dyDescent="0.2">
      <c r="A1801" s="40">
        <v>7371</v>
      </c>
      <c r="B1801" s="39" t="s">
        <v>2574</v>
      </c>
      <c r="C1801" s="40" t="s">
        <v>1805</v>
      </c>
      <c r="D1801" s="74" t="s">
        <v>1269</v>
      </c>
      <c r="E1801" s="74" t="s">
        <v>1266</v>
      </c>
      <c r="F1801" s="74" t="s">
        <v>1268</v>
      </c>
      <c r="G1801" s="74" t="s">
        <v>1268</v>
      </c>
    </row>
    <row r="1802" spans="1:7" x14ac:dyDescent="0.2">
      <c r="A1802" s="40">
        <v>7372</v>
      </c>
      <c r="B1802" s="39" t="s">
        <v>2575</v>
      </c>
      <c r="C1802" s="40" t="s">
        <v>1805</v>
      </c>
      <c r="D1802" s="74" t="s">
        <v>1269</v>
      </c>
      <c r="E1802" s="74" t="s">
        <v>1266</v>
      </c>
      <c r="F1802" s="74" t="s">
        <v>1268</v>
      </c>
      <c r="G1802" s="74" t="s">
        <v>1267</v>
      </c>
    </row>
    <row r="1803" spans="1:7" x14ac:dyDescent="0.2">
      <c r="A1803" s="40">
        <v>7400</v>
      </c>
      <c r="B1803" s="39" t="s">
        <v>2576</v>
      </c>
      <c r="C1803" s="40" t="s">
        <v>1805</v>
      </c>
      <c r="D1803" s="74" t="s">
        <v>1269</v>
      </c>
      <c r="E1803" s="74" t="s">
        <v>1266</v>
      </c>
      <c r="F1803" s="74" t="s">
        <v>1268</v>
      </c>
      <c r="G1803" s="74" t="s">
        <v>1268</v>
      </c>
    </row>
    <row r="1804" spans="1:7" x14ac:dyDescent="0.2">
      <c r="A1804" s="40">
        <v>7411</v>
      </c>
      <c r="B1804" s="39" t="s">
        <v>2577</v>
      </c>
      <c r="C1804" s="40" t="s">
        <v>1805</v>
      </c>
      <c r="D1804" s="74" t="s">
        <v>1269</v>
      </c>
      <c r="E1804" s="74" t="s">
        <v>1266</v>
      </c>
      <c r="F1804" s="74" t="s">
        <v>1268</v>
      </c>
      <c r="G1804" s="74" t="s">
        <v>1268</v>
      </c>
    </row>
    <row r="1805" spans="1:7" x14ac:dyDescent="0.2">
      <c r="A1805" s="40">
        <v>7412</v>
      </c>
      <c r="B1805" s="39" t="s">
        <v>2578</v>
      </c>
      <c r="C1805" s="40" t="s">
        <v>1805</v>
      </c>
      <c r="D1805" s="74" t="s">
        <v>1269</v>
      </c>
      <c r="E1805" s="74" t="s">
        <v>1266</v>
      </c>
      <c r="F1805" s="74" t="s">
        <v>1268</v>
      </c>
      <c r="G1805" s="74" t="s">
        <v>1267</v>
      </c>
    </row>
    <row r="1806" spans="1:7" x14ac:dyDescent="0.2">
      <c r="A1806" s="40">
        <v>7421</v>
      </c>
      <c r="B1806" s="39" t="s">
        <v>2579</v>
      </c>
      <c r="C1806" s="40" t="s">
        <v>2580</v>
      </c>
      <c r="D1806" s="74" t="s">
        <v>1269</v>
      </c>
      <c r="E1806" s="74" t="s">
        <v>1266</v>
      </c>
      <c r="F1806" s="74" t="s">
        <v>1268</v>
      </c>
      <c r="G1806" s="74" t="s">
        <v>1267</v>
      </c>
    </row>
    <row r="1807" spans="1:7" x14ac:dyDescent="0.2">
      <c r="A1807" s="40">
        <v>7422</v>
      </c>
      <c r="B1807" s="39" t="s">
        <v>2581</v>
      </c>
      <c r="C1807" s="40" t="s">
        <v>1805</v>
      </c>
      <c r="D1807" s="74" t="s">
        <v>1269</v>
      </c>
      <c r="E1807" s="74" t="s">
        <v>1266</v>
      </c>
      <c r="F1807" s="74" t="s">
        <v>1268</v>
      </c>
      <c r="G1807" s="74" t="s">
        <v>1268</v>
      </c>
    </row>
    <row r="1808" spans="1:7" x14ac:dyDescent="0.2">
      <c r="A1808" s="40">
        <v>7423</v>
      </c>
      <c r="B1808" s="39" t="s">
        <v>2582</v>
      </c>
      <c r="C1808" s="40" t="s">
        <v>1805</v>
      </c>
      <c r="D1808" s="74" t="s">
        <v>1269</v>
      </c>
      <c r="E1808" s="74" t="s">
        <v>1266</v>
      </c>
      <c r="F1808" s="74" t="s">
        <v>1268</v>
      </c>
      <c r="G1808" s="74" t="s">
        <v>1268</v>
      </c>
    </row>
    <row r="1809" spans="1:7" x14ac:dyDescent="0.2">
      <c r="A1809" s="40">
        <v>7431</v>
      </c>
      <c r="B1809" s="39" t="s">
        <v>2583</v>
      </c>
      <c r="C1809" s="40" t="s">
        <v>1805</v>
      </c>
      <c r="D1809" s="74" t="s">
        <v>1269</v>
      </c>
      <c r="E1809" s="74" t="s">
        <v>1266</v>
      </c>
      <c r="F1809" s="74" t="s">
        <v>1268</v>
      </c>
      <c r="G1809" s="74" t="s">
        <v>1268</v>
      </c>
    </row>
    <row r="1810" spans="1:7" x14ac:dyDescent="0.2">
      <c r="A1810" s="40">
        <v>7432</v>
      </c>
      <c r="B1810" s="39" t="s">
        <v>2584</v>
      </c>
      <c r="C1810" s="40" t="s">
        <v>1805</v>
      </c>
      <c r="D1810" s="74" t="s">
        <v>1269</v>
      </c>
      <c r="E1810" s="74" t="s">
        <v>1266</v>
      </c>
      <c r="F1810" s="74" t="s">
        <v>1268</v>
      </c>
      <c r="G1810" s="74" t="s">
        <v>1268</v>
      </c>
    </row>
    <row r="1811" spans="1:7" x14ac:dyDescent="0.2">
      <c r="A1811" s="40">
        <v>7433</v>
      </c>
      <c r="B1811" s="39" t="s">
        <v>2585</v>
      </c>
      <c r="C1811" s="40" t="s">
        <v>1805</v>
      </c>
      <c r="D1811" s="74" t="s">
        <v>1269</v>
      </c>
      <c r="E1811" s="74" t="s">
        <v>1266</v>
      </c>
      <c r="F1811" s="74" t="s">
        <v>1268</v>
      </c>
      <c r="G1811" s="74" t="s">
        <v>1267</v>
      </c>
    </row>
    <row r="1812" spans="1:7" x14ac:dyDescent="0.2">
      <c r="A1812" s="40">
        <v>7434</v>
      </c>
      <c r="B1812" s="39" t="s">
        <v>2586</v>
      </c>
      <c r="C1812" s="40" t="s">
        <v>1805</v>
      </c>
      <c r="D1812" s="74" t="s">
        <v>1269</v>
      </c>
      <c r="E1812" s="74" t="s">
        <v>1266</v>
      </c>
      <c r="F1812" s="74" t="s">
        <v>1268</v>
      </c>
      <c r="G1812" s="74" t="s">
        <v>1268</v>
      </c>
    </row>
    <row r="1813" spans="1:7" x14ac:dyDescent="0.2">
      <c r="A1813" s="40">
        <v>7435</v>
      </c>
      <c r="B1813" s="39" t="s">
        <v>2587</v>
      </c>
      <c r="C1813" s="40" t="s">
        <v>1805</v>
      </c>
      <c r="D1813" s="74" t="s">
        <v>1269</v>
      </c>
      <c r="E1813" s="74" t="s">
        <v>1266</v>
      </c>
      <c r="F1813" s="74" t="s">
        <v>1268</v>
      </c>
      <c r="G1813" s="74" t="s">
        <v>1267</v>
      </c>
    </row>
    <row r="1814" spans="1:7" x14ac:dyDescent="0.2">
      <c r="A1814" s="40">
        <v>7441</v>
      </c>
      <c r="B1814" s="39" t="s">
        <v>0</v>
      </c>
      <c r="C1814" s="40" t="s">
        <v>1805</v>
      </c>
      <c r="D1814" s="74" t="s">
        <v>1269</v>
      </c>
      <c r="E1814" s="74" t="s">
        <v>1266</v>
      </c>
      <c r="F1814" s="74" t="s">
        <v>1268</v>
      </c>
      <c r="G1814" s="74" t="s">
        <v>1267</v>
      </c>
    </row>
    <row r="1815" spans="1:7" x14ac:dyDescent="0.2">
      <c r="A1815" s="40">
        <v>7442</v>
      </c>
      <c r="B1815" s="39" t="s">
        <v>1</v>
      </c>
      <c r="C1815" s="40" t="s">
        <v>1805</v>
      </c>
      <c r="D1815" s="74" t="s">
        <v>1269</v>
      </c>
      <c r="E1815" s="74" t="s">
        <v>1266</v>
      </c>
      <c r="F1815" s="74" t="s">
        <v>1268</v>
      </c>
      <c r="G1815" s="74" t="s">
        <v>1268</v>
      </c>
    </row>
    <row r="1816" spans="1:7" x14ac:dyDescent="0.2">
      <c r="A1816" s="40">
        <v>7443</v>
      </c>
      <c r="B1816" s="39" t="s">
        <v>2</v>
      </c>
      <c r="C1816" s="40" t="s">
        <v>1805</v>
      </c>
      <c r="D1816" s="74" t="s">
        <v>1269</v>
      </c>
      <c r="E1816" s="74" t="s">
        <v>1266</v>
      </c>
      <c r="F1816" s="74" t="s">
        <v>1268</v>
      </c>
      <c r="G1816" s="74" t="s">
        <v>1267</v>
      </c>
    </row>
    <row r="1817" spans="1:7" x14ac:dyDescent="0.2">
      <c r="A1817" s="40">
        <v>7444</v>
      </c>
      <c r="B1817" s="39" t="s">
        <v>3</v>
      </c>
      <c r="C1817" s="40" t="s">
        <v>1805</v>
      </c>
      <c r="D1817" s="74" t="s">
        <v>1269</v>
      </c>
      <c r="E1817" s="74" t="s">
        <v>1266</v>
      </c>
      <c r="F1817" s="74" t="s">
        <v>1268</v>
      </c>
      <c r="G1817" s="74" t="s">
        <v>1267</v>
      </c>
    </row>
    <row r="1818" spans="1:7" x14ac:dyDescent="0.2">
      <c r="A1818" s="40">
        <v>7451</v>
      </c>
      <c r="B1818" s="39" t="s">
        <v>4</v>
      </c>
      <c r="C1818" s="40" t="s">
        <v>1805</v>
      </c>
      <c r="D1818" s="74" t="s">
        <v>1269</v>
      </c>
      <c r="E1818" s="74" t="s">
        <v>1266</v>
      </c>
      <c r="F1818" s="74" t="s">
        <v>1268</v>
      </c>
      <c r="G1818" s="74" t="s">
        <v>1267</v>
      </c>
    </row>
    <row r="1819" spans="1:7" x14ac:dyDescent="0.2">
      <c r="A1819" s="40">
        <v>7452</v>
      </c>
      <c r="B1819" s="39" t="s">
        <v>5</v>
      </c>
      <c r="C1819" s="40" t="s">
        <v>1805</v>
      </c>
      <c r="D1819" s="74" t="s">
        <v>1269</v>
      </c>
      <c r="E1819" s="74" t="s">
        <v>1266</v>
      </c>
      <c r="F1819" s="74" t="s">
        <v>1268</v>
      </c>
      <c r="G1819" s="74" t="s">
        <v>1267</v>
      </c>
    </row>
    <row r="1820" spans="1:7" x14ac:dyDescent="0.2">
      <c r="A1820" s="40">
        <v>7453</v>
      </c>
      <c r="B1820" s="39" t="s">
        <v>6</v>
      </c>
      <c r="C1820" s="40" t="s">
        <v>1805</v>
      </c>
      <c r="D1820" s="74" t="s">
        <v>1269</v>
      </c>
      <c r="E1820" s="74" t="s">
        <v>1266</v>
      </c>
      <c r="F1820" s="74" t="s">
        <v>1268</v>
      </c>
      <c r="G1820" s="74" t="s">
        <v>1267</v>
      </c>
    </row>
    <row r="1821" spans="1:7" x14ac:dyDescent="0.2">
      <c r="A1821" s="40">
        <v>7461</v>
      </c>
      <c r="B1821" s="39" t="s">
        <v>7</v>
      </c>
      <c r="C1821" s="40" t="s">
        <v>1805</v>
      </c>
      <c r="D1821" s="74" t="s">
        <v>1269</v>
      </c>
      <c r="E1821" s="74" t="s">
        <v>1266</v>
      </c>
      <c r="F1821" s="74" t="s">
        <v>1268</v>
      </c>
      <c r="G1821" s="74" t="s">
        <v>1268</v>
      </c>
    </row>
    <row r="1822" spans="1:7" x14ac:dyDescent="0.2">
      <c r="A1822" s="40">
        <v>7463</v>
      </c>
      <c r="B1822" s="39" t="s">
        <v>8</v>
      </c>
      <c r="C1822" s="40" t="s">
        <v>1805</v>
      </c>
      <c r="D1822" s="74" t="s">
        <v>1269</v>
      </c>
      <c r="E1822" s="74" t="s">
        <v>1266</v>
      </c>
      <c r="F1822" s="74" t="s">
        <v>1268</v>
      </c>
      <c r="G1822" s="74" t="s">
        <v>1267</v>
      </c>
    </row>
    <row r="1823" spans="1:7" x14ac:dyDescent="0.2">
      <c r="A1823" s="40">
        <v>7464</v>
      </c>
      <c r="B1823" s="39" t="s">
        <v>9</v>
      </c>
      <c r="C1823" s="40" t="s">
        <v>1805</v>
      </c>
      <c r="D1823" s="74" t="s">
        <v>1269</v>
      </c>
      <c r="E1823" s="74" t="s">
        <v>1266</v>
      </c>
      <c r="F1823" s="74" t="s">
        <v>1268</v>
      </c>
      <c r="G1823" s="74" t="s">
        <v>1267</v>
      </c>
    </row>
    <row r="1824" spans="1:7" x14ac:dyDescent="0.2">
      <c r="A1824" s="40">
        <v>7471</v>
      </c>
      <c r="B1824" s="39" t="s">
        <v>10</v>
      </c>
      <c r="C1824" s="40" t="s">
        <v>1805</v>
      </c>
      <c r="D1824" s="74" t="s">
        <v>1269</v>
      </c>
      <c r="E1824" s="74" t="s">
        <v>1266</v>
      </c>
      <c r="F1824" s="74" t="s">
        <v>1268</v>
      </c>
      <c r="G1824" s="74" t="s">
        <v>1268</v>
      </c>
    </row>
    <row r="1825" spans="1:7" x14ac:dyDescent="0.2">
      <c r="A1825" s="40">
        <v>7472</v>
      </c>
      <c r="B1825" s="39" t="s">
        <v>11</v>
      </c>
      <c r="C1825" s="40" t="s">
        <v>1805</v>
      </c>
      <c r="D1825" s="74" t="s">
        <v>1269</v>
      </c>
      <c r="E1825" s="74" t="s">
        <v>1266</v>
      </c>
      <c r="F1825" s="74" t="s">
        <v>1268</v>
      </c>
      <c r="G1825" s="74" t="s">
        <v>1267</v>
      </c>
    </row>
    <row r="1826" spans="1:7" x14ac:dyDescent="0.2">
      <c r="A1826" s="40">
        <v>7473</v>
      </c>
      <c r="B1826" s="39" t="s">
        <v>12</v>
      </c>
      <c r="C1826" s="40" t="s">
        <v>1805</v>
      </c>
      <c r="D1826" s="74" t="s">
        <v>1269</v>
      </c>
      <c r="E1826" s="74" t="s">
        <v>1266</v>
      </c>
      <c r="F1826" s="74" t="s">
        <v>1268</v>
      </c>
      <c r="G1826" s="74" t="s">
        <v>1267</v>
      </c>
    </row>
    <row r="1827" spans="1:7" x14ac:dyDescent="0.2">
      <c r="A1827" s="40">
        <v>7474</v>
      </c>
      <c r="B1827" s="39" t="s">
        <v>13</v>
      </c>
      <c r="C1827" s="40" t="s">
        <v>1805</v>
      </c>
      <c r="D1827" s="74" t="s">
        <v>1269</v>
      </c>
      <c r="E1827" s="74" t="s">
        <v>1266</v>
      </c>
      <c r="F1827" s="74" t="s">
        <v>1268</v>
      </c>
      <c r="G1827" s="74" t="s">
        <v>1267</v>
      </c>
    </row>
    <row r="1828" spans="1:7" x14ac:dyDescent="0.2">
      <c r="A1828" s="40">
        <v>7501</v>
      </c>
      <c r="B1828" s="39" t="s">
        <v>14</v>
      </c>
      <c r="C1828" s="40" t="s">
        <v>1805</v>
      </c>
      <c r="D1828" s="74" t="s">
        <v>1269</v>
      </c>
      <c r="E1828" s="74" t="s">
        <v>1266</v>
      </c>
      <c r="F1828" s="74" t="s">
        <v>1268</v>
      </c>
      <c r="G1828" s="74" t="s">
        <v>1268</v>
      </c>
    </row>
    <row r="1829" spans="1:7" x14ac:dyDescent="0.2">
      <c r="A1829" s="40">
        <v>7503</v>
      </c>
      <c r="B1829" s="39" t="s">
        <v>15</v>
      </c>
      <c r="C1829" s="40" t="s">
        <v>1805</v>
      </c>
      <c r="D1829" s="74" t="s">
        <v>1269</v>
      </c>
      <c r="E1829" s="74" t="s">
        <v>1266</v>
      </c>
      <c r="F1829" s="74" t="s">
        <v>1268</v>
      </c>
      <c r="G1829" s="74" t="s">
        <v>1268</v>
      </c>
    </row>
    <row r="1830" spans="1:7" x14ac:dyDescent="0.2">
      <c r="A1830" s="40">
        <v>7511</v>
      </c>
      <c r="B1830" s="39" t="s">
        <v>16</v>
      </c>
      <c r="C1830" s="40" t="s">
        <v>1805</v>
      </c>
      <c r="D1830" s="74" t="s">
        <v>1269</v>
      </c>
      <c r="E1830" s="74" t="s">
        <v>1266</v>
      </c>
      <c r="F1830" s="74" t="s">
        <v>1268</v>
      </c>
      <c r="G1830" s="74" t="s">
        <v>1267</v>
      </c>
    </row>
    <row r="1831" spans="1:7" x14ac:dyDescent="0.2">
      <c r="A1831" s="40">
        <v>7512</v>
      </c>
      <c r="B1831" s="39" t="s">
        <v>17</v>
      </c>
      <c r="C1831" s="40" t="s">
        <v>1805</v>
      </c>
      <c r="D1831" s="74" t="s">
        <v>1269</v>
      </c>
      <c r="E1831" s="74" t="s">
        <v>1266</v>
      </c>
      <c r="F1831" s="74" t="s">
        <v>1268</v>
      </c>
      <c r="G1831" s="74" t="s">
        <v>1267</v>
      </c>
    </row>
    <row r="1832" spans="1:7" x14ac:dyDescent="0.2">
      <c r="A1832" s="40">
        <v>7521</v>
      </c>
      <c r="B1832" s="39" t="s">
        <v>18</v>
      </c>
      <c r="C1832" s="40" t="s">
        <v>1805</v>
      </c>
      <c r="D1832" s="74" t="s">
        <v>1269</v>
      </c>
      <c r="E1832" s="74" t="s">
        <v>1266</v>
      </c>
      <c r="F1832" s="74" t="s">
        <v>1268</v>
      </c>
      <c r="G1832" s="74" t="s">
        <v>1267</v>
      </c>
    </row>
    <row r="1833" spans="1:7" x14ac:dyDescent="0.2">
      <c r="A1833" s="40">
        <v>7522</v>
      </c>
      <c r="B1833" s="39" t="s">
        <v>19</v>
      </c>
      <c r="C1833" s="40" t="s">
        <v>1805</v>
      </c>
      <c r="D1833" s="74" t="s">
        <v>1269</v>
      </c>
      <c r="E1833" s="74" t="s">
        <v>1266</v>
      </c>
      <c r="F1833" s="74" t="s">
        <v>1268</v>
      </c>
      <c r="G1833" s="74" t="s">
        <v>1267</v>
      </c>
    </row>
    <row r="1834" spans="1:7" x14ac:dyDescent="0.2">
      <c r="A1834" s="40">
        <v>7531</v>
      </c>
      <c r="B1834" s="39" t="s">
        <v>20</v>
      </c>
      <c r="C1834" s="40" t="s">
        <v>1805</v>
      </c>
      <c r="D1834" s="74" t="s">
        <v>1269</v>
      </c>
      <c r="E1834" s="74" t="s">
        <v>1266</v>
      </c>
      <c r="F1834" s="74" t="s">
        <v>1268</v>
      </c>
      <c r="G1834" s="74" t="s">
        <v>1268</v>
      </c>
    </row>
    <row r="1835" spans="1:7" x14ac:dyDescent="0.2">
      <c r="A1835" s="40">
        <v>7532</v>
      </c>
      <c r="B1835" s="39" t="s">
        <v>21</v>
      </c>
      <c r="C1835" s="40" t="s">
        <v>1805</v>
      </c>
      <c r="D1835" s="74" t="s">
        <v>1269</v>
      </c>
      <c r="E1835" s="74" t="s">
        <v>1266</v>
      </c>
      <c r="F1835" s="74" t="s">
        <v>1268</v>
      </c>
      <c r="G1835" s="74" t="s">
        <v>1267</v>
      </c>
    </row>
    <row r="1836" spans="1:7" x14ac:dyDescent="0.2">
      <c r="A1836" s="40">
        <v>7533</v>
      </c>
      <c r="B1836" s="39" t="s">
        <v>22</v>
      </c>
      <c r="C1836" s="40" t="s">
        <v>1805</v>
      </c>
      <c r="D1836" s="74" t="s">
        <v>1269</v>
      </c>
      <c r="E1836" s="74" t="s">
        <v>1266</v>
      </c>
      <c r="F1836" s="74" t="s">
        <v>1268</v>
      </c>
      <c r="G1836" s="74" t="s">
        <v>1267</v>
      </c>
    </row>
    <row r="1837" spans="1:7" x14ac:dyDescent="0.2">
      <c r="A1837" s="40">
        <v>7534</v>
      </c>
      <c r="B1837" s="39" t="s">
        <v>23</v>
      </c>
      <c r="C1837" s="40" t="s">
        <v>1805</v>
      </c>
      <c r="D1837" s="74" t="s">
        <v>1269</v>
      </c>
      <c r="E1837" s="74" t="s">
        <v>1266</v>
      </c>
      <c r="F1837" s="74" t="s">
        <v>1268</v>
      </c>
      <c r="G1837" s="74" t="s">
        <v>1267</v>
      </c>
    </row>
    <row r="1838" spans="1:7" x14ac:dyDescent="0.2">
      <c r="A1838" s="40">
        <v>7535</v>
      </c>
      <c r="B1838" s="39" t="s">
        <v>24</v>
      </c>
      <c r="C1838" s="40" t="s">
        <v>1805</v>
      </c>
      <c r="D1838" s="74" t="s">
        <v>1269</v>
      </c>
      <c r="E1838" s="74" t="s">
        <v>1266</v>
      </c>
      <c r="F1838" s="74" t="s">
        <v>1268</v>
      </c>
      <c r="G1838" s="74" t="s">
        <v>1268</v>
      </c>
    </row>
    <row r="1839" spans="1:7" x14ac:dyDescent="0.2">
      <c r="A1839" s="40">
        <v>7540</v>
      </c>
      <c r="B1839" s="39" t="s">
        <v>25</v>
      </c>
      <c r="C1839" s="40" t="s">
        <v>1805</v>
      </c>
      <c r="D1839" s="74" t="s">
        <v>1269</v>
      </c>
      <c r="E1839" s="74" t="s">
        <v>1266</v>
      </c>
      <c r="F1839" s="74" t="s">
        <v>1268</v>
      </c>
      <c r="G1839" s="74" t="s">
        <v>1268</v>
      </c>
    </row>
    <row r="1840" spans="1:7" x14ac:dyDescent="0.2">
      <c r="A1840" s="40">
        <v>7542</v>
      </c>
      <c r="B1840" s="39" t="s">
        <v>26</v>
      </c>
      <c r="C1840" s="40" t="s">
        <v>1805</v>
      </c>
      <c r="D1840" s="74" t="s">
        <v>1269</v>
      </c>
      <c r="E1840" s="74" t="s">
        <v>1266</v>
      </c>
      <c r="F1840" s="74" t="s">
        <v>1268</v>
      </c>
      <c r="G1840" s="74" t="s">
        <v>1267</v>
      </c>
    </row>
    <row r="1841" spans="1:7" x14ac:dyDescent="0.2">
      <c r="A1841" s="40">
        <v>7543</v>
      </c>
      <c r="B1841" s="39" t="s">
        <v>27</v>
      </c>
      <c r="C1841" s="40" t="s">
        <v>1805</v>
      </c>
      <c r="D1841" s="74" t="s">
        <v>1269</v>
      </c>
      <c r="E1841" s="74" t="s">
        <v>1266</v>
      </c>
      <c r="F1841" s="74" t="s">
        <v>1268</v>
      </c>
      <c r="G1841" s="74" t="s">
        <v>1267</v>
      </c>
    </row>
    <row r="1842" spans="1:7" x14ac:dyDescent="0.2">
      <c r="A1842" s="40">
        <v>7551</v>
      </c>
      <c r="B1842" s="39" t="s">
        <v>28</v>
      </c>
      <c r="C1842" s="40" t="s">
        <v>1805</v>
      </c>
      <c r="D1842" s="74" t="s">
        <v>1269</v>
      </c>
      <c r="E1842" s="74" t="s">
        <v>1266</v>
      </c>
      <c r="F1842" s="74" t="s">
        <v>1268</v>
      </c>
      <c r="G1842" s="74" t="s">
        <v>1268</v>
      </c>
    </row>
    <row r="1843" spans="1:7" x14ac:dyDescent="0.2">
      <c r="A1843" s="40">
        <v>7552</v>
      </c>
      <c r="B1843" s="39" t="s">
        <v>29</v>
      </c>
      <c r="C1843" s="40" t="s">
        <v>1805</v>
      </c>
      <c r="D1843" s="74" t="s">
        <v>1269</v>
      </c>
      <c r="E1843" s="74" t="s">
        <v>1266</v>
      </c>
      <c r="F1843" s="74" t="s">
        <v>1268</v>
      </c>
      <c r="G1843" s="74" t="s">
        <v>1267</v>
      </c>
    </row>
    <row r="1844" spans="1:7" x14ac:dyDescent="0.2">
      <c r="A1844" s="40">
        <v>7561</v>
      </c>
      <c r="B1844" s="39" t="s">
        <v>30</v>
      </c>
      <c r="C1844" s="40" t="s">
        <v>1805</v>
      </c>
      <c r="D1844" s="74" t="s">
        <v>1269</v>
      </c>
      <c r="E1844" s="74" t="s">
        <v>1266</v>
      </c>
      <c r="F1844" s="74" t="s">
        <v>1268</v>
      </c>
      <c r="G1844" s="74" t="s">
        <v>1268</v>
      </c>
    </row>
    <row r="1845" spans="1:7" x14ac:dyDescent="0.2">
      <c r="A1845" s="40">
        <v>7562</v>
      </c>
      <c r="B1845" s="39" t="s">
        <v>31</v>
      </c>
      <c r="C1845" s="40" t="s">
        <v>1805</v>
      </c>
      <c r="D1845" s="74" t="s">
        <v>1269</v>
      </c>
      <c r="E1845" s="74" t="s">
        <v>1266</v>
      </c>
      <c r="F1845" s="74" t="s">
        <v>1268</v>
      </c>
      <c r="G1845" s="74" t="s">
        <v>1267</v>
      </c>
    </row>
    <row r="1846" spans="1:7" x14ac:dyDescent="0.2">
      <c r="A1846" s="40">
        <v>7563</v>
      </c>
      <c r="B1846" s="39" t="s">
        <v>32</v>
      </c>
      <c r="C1846" s="40" t="s">
        <v>1805</v>
      </c>
      <c r="D1846" s="74" t="s">
        <v>1269</v>
      </c>
      <c r="E1846" s="74" t="s">
        <v>1266</v>
      </c>
      <c r="F1846" s="74" t="s">
        <v>1268</v>
      </c>
      <c r="G1846" s="74" t="s">
        <v>1267</v>
      </c>
    </row>
    <row r="1847" spans="1:7" x14ac:dyDescent="0.2">
      <c r="A1847" s="40">
        <v>7564</v>
      </c>
      <c r="B1847" s="39" t="s">
        <v>2199</v>
      </c>
      <c r="C1847" s="40" t="s">
        <v>1805</v>
      </c>
      <c r="D1847" s="74" t="s">
        <v>1269</v>
      </c>
      <c r="E1847" s="74" t="s">
        <v>1266</v>
      </c>
      <c r="F1847" s="74" t="s">
        <v>1268</v>
      </c>
      <c r="G1847" s="74" t="s">
        <v>1267</v>
      </c>
    </row>
    <row r="1848" spans="1:7" x14ac:dyDescent="0.2">
      <c r="A1848" s="40">
        <v>7571</v>
      </c>
      <c r="B1848" s="39" t="s">
        <v>2200</v>
      </c>
      <c r="C1848" s="40" t="s">
        <v>1805</v>
      </c>
      <c r="D1848" s="74" t="s">
        <v>1269</v>
      </c>
      <c r="E1848" s="74" t="s">
        <v>1266</v>
      </c>
      <c r="F1848" s="74" t="s">
        <v>1268</v>
      </c>
      <c r="G1848" s="74" t="s">
        <v>1268</v>
      </c>
    </row>
    <row r="1849" spans="1:7" x14ac:dyDescent="0.2">
      <c r="A1849" s="40">
        <v>7572</v>
      </c>
      <c r="B1849" s="39" t="s">
        <v>2201</v>
      </c>
      <c r="C1849" s="40" t="s">
        <v>1805</v>
      </c>
      <c r="D1849" s="74" t="s">
        <v>1269</v>
      </c>
      <c r="E1849" s="74" t="s">
        <v>1266</v>
      </c>
      <c r="F1849" s="74" t="s">
        <v>1268</v>
      </c>
      <c r="G1849" s="74" t="s">
        <v>1267</v>
      </c>
    </row>
    <row r="1850" spans="1:7" x14ac:dyDescent="0.2">
      <c r="A1850" s="40">
        <v>8010</v>
      </c>
      <c r="B1850" s="39" t="s">
        <v>174</v>
      </c>
      <c r="C1850" s="40" t="s">
        <v>2580</v>
      </c>
      <c r="D1850" s="74" t="s">
        <v>1269</v>
      </c>
      <c r="E1850" s="74" t="s">
        <v>1266</v>
      </c>
      <c r="F1850" s="74" t="s">
        <v>1268</v>
      </c>
      <c r="G1850" s="74" t="s">
        <v>1268</v>
      </c>
    </row>
    <row r="1851" spans="1:7" x14ac:dyDescent="0.2">
      <c r="A1851" s="40">
        <v>8011</v>
      </c>
      <c r="B1851" s="39" t="s">
        <v>2202</v>
      </c>
      <c r="C1851" s="40" t="s">
        <v>2580</v>
      </c>
      <c r="D1851" s="74" t="s">
        <v>1271</v>
      </c>
      <c r="E1851" s="74" t="s">
        <v>1266</v>
      </c>
      <c r="F1851" s="74" t="s">
        <v>1267</v>
      </c>
      <c r="G1851" s="74" t="s">
        <v>1268</v>
      </c>
    </row>
    <row r="1852" spans="1:7" x14ac:dyDescent="0.2">
      <c r="A1852" s="40">
        <v>8013</v>
      </c>
      <c r="B1852" s="39" t="s">
        <v>174</v>
      </c>
      <c r="C1852" s="40" t="s">
        <v>2580</v>
      </c>
      <c r="D1852" s="74" t="s">
        <v>1271</v>
      </c>
      <c r="E1852" s="74" t="s">
        <v>1266</v>
      </c>
      <c r="F1852" s="74" t="s">
        <v>1267</v>
      </c>
      <c r="G1852" s="74" t="s">
        <v>1268</v>
      </c>
    </row>
    <row r="1853" spans="1:7" x14ac:dyDescent="0.2">
      <c r="A1853" s="40">
        <v>8015</v>
      </c>
      <c r="B1853" s="39" t="s">
        <v>174</v>
      </c>
      <c r="C1853" s="40" t="s">
        <v>2580</v>
      </c>
      <c r="D1853" s="74" t="s">
        <v>1271</v>
      </c>
      <c r="E1853" s="74" t="s">
        <v>1266</v>
      </c>
      <c r="F1853" s="74" t="s">
        <v>1267</v>
      </c>
      <c r="G1853" s="74" t="s">
        <v>1268</v>
      </c>
    </row>
    <row r="1854" spans="1:7" x14ac:dyDescent="0.2">
      <c r="A1854" s="40">
        <v>8016</v>
      </c>
      <c r="B1854" s="39" t="s">
        <v>174</v>
      </c>
      <c r="C1854" s="40" t="s">
        <v>2580</v>
      </c>
      <c r="D1854" s="74" t="s">
        <v>1271</v>
      </c>
      <c r="E1854" s="74" t="s">
        <v>1266</v>
      </c>
      <c r="F1854" s="74" t="s">
        <v>1267</v>
      </c>
      <c r="G1854" s="74" t="s">
        <v>1268</v>
      </c>
    </row>
    <row r="1855" spans="1:7" x14ac:dyDescent="0.2">
      <c r="A1855" s="40">
        <v>8017</v>
      </c>
      <c r="B1855" s="39" t="s">
        <v>174</v>
      </c>
      <c r="C1855" s="40" t="s">
        <v>2580</v>
      </c>
      <c r="D1855" s="74" t="s">
        <v>1271</v>
      </c>
      <c r="E1855" s="74" t="s">
        <v>1266</v>
      </c>
      <c r="F1855" s="74" t="s">
        <v>1267</v>
      </c>
      <c r="G1855" s="74" t="s">
        <v>1268</v>
      </c>
    </row>
    <row r="1856" spans="1:7" x14ac:dyDescent="0.2">
      <c r="A1856" s="40">
        <v>8018</v>
      </c>
      <c r="B1856" s="39" t="s">
        <v>174</v>
      </c>
      <c r="C1856" s="40" t="s">
        <v>2580</v>
      </c>
      <c r="D1856" s="74" t="s">
        <v>1271</v>
      </c>
      <c r="E1856" s="74" t="s">
        <v>1266</v>
      </c>
      <c r="F1856" s="74" t="s">
        <v>1267</v>
      </c>
      <c r="G1856" s="74" t="s">
        <v>1268</v>
      </c>
    </row>
    <row r="1857" spans="1:7" x14ac:dyDescent="0.2">
      <c r="A1857" s="40">
        <v>8019</v>
      </c>
      <c r="B1857" s="39" t="s">
        <v>174</v>
      </c>
      <c r="C1857" s="40" t="s">
        <v>2580</v>
      </c>
      <c r="D1857" s="74" t="s">
        <v>1271</v>
      </c>
      <c r="E1857" s="74" t="s">
        <v>1266</v>
      </c>
      <c r="F1857" s="74" t="s">
        <v>1267</v>
      </c>
      <c r="G1857" s="74" t="s">
        <v>1268</v>
      </c>
    </row>
    <row r="1858" spans="1:7" x14ac:dyDescent="0.2">
      <c r="A1858" s="40">
        <v>8020</v>
      </c>
      <c r="B1858" s="39" t="s">
        <v>174</v>
      </c>
      <c r="C1858" s="40" t="s">
        <v>2580</v>
      </c>
      <c r="D1858" s="74" t="s">
        <v>1269</v>
      </c>
      <c r="E1858" s="74" t="s">
        <v>1266</v>
      </c>
      <c r="F1858" s="74" t="s">
        <v>1268</v>
      </c>
      <c r="G1858" s="74" t="s">
        <v>1268</v>
      </c>
    </row>
    <row r="1859" spans="1:7" x14ac:dyDescent="0.2">
      <c r="A1859" s="40">
        <v>8021</v>
      </c>
      <c r="B1859" s="39" t="s">
        <v>2202</v>
      </c>
      <c r="C1859" s="40" t="s">
        <v>2580</v>
      </c>
      <c r="D1859" s="74" t="s">
        <v>1271</v>
      </c>
      <c r="E1859" s="74" t="s">
        <v>1266</v>
      </c>
      <c r="F1859" s="74" t="s">
        <v>1267</v>
      </c>
      <c r="G1859" s="74" t="s">
        <v>1268</v>
      </c>
    </row>
    <row r="1860" spans="1:7" x14ac:dyDescent="0.2">
      <c r="A1860" s="40">
        <v>8022</v>
      </c>
      <c r="B1860" s="39" t="s">
        <v>174</v>
      </c>
      <c r="C1860" s="40" t="s">
        <v>2580</v>
      </c>
      <c r="D1860" s="74" t="s">
        <v>1271</v>
      </c>
      <c r="E1860" s="74" t="s">
        <v>1266</v>
      </c>
      <c r="F1860" s="74" t="s">
        <v>1267</v>
      </c>
      <c r="G1860" s="74" t="s">
        <v>1268</v>
      </c>
    </row>
    <row r="1861" spans="1:7" x14ac:dyDescent="0.2">
      <c r="A1861" s="40">
        <v>8023</v>
      </c>
      <c r="B1861" s="39" t="s">
        <v>174</v>
      </c>
      <c r="C1861" s="40" t="s">
        <v>2580</v>
      </c>
      <c r="D1861" s="74" t="s">
        <v>1271</v>
      </c>
      <c r="E1861" s="74" t="s">
        <v>1266</v>
      </c>
      <c r="F1861" s="74" t="s">
        <v>1267</v>
      </c>
      <c r="G1861" s="74" t="s">
        <v>1268</v>
      </c>
    </row>
    <row r="1862" spans="1:7" x14ac:dyDescent="0.2">
      <c r="A1862" s="40">
        <v>8024</v>
      </c>
      <c r="B1862" s="39" t="s">
        <v>174</v>
      </c>
      <c r="C1862" s="40" t="s">
        <v>2580</v>
      </c>
      <c r="D1862" s="74" t="s">
        <v>1271</v>
      </c>
      <c r="E1862" s="74" t="s">
        <v>1266</v>
      </c>
      <c r="F1862" s="74" t="s">
        <v>1267</v>
      </c>
      <c r="G1862" s="74" t="s">
        <v>1268</v>
      </c>
    </row>
    <row r="1863" spans="1:7" x14ac:dyDescent="0.2">
      <c r="A1863" s="40">
        <v>8025</v>
      </c>
      <c r="B1863" s="39" t="s">
        <v>174</v>
      </c>
      <c r="C1863" s="40" t="s">
        <v>2580</v>
      </c>
      <c r="D1863" s="74" t="s">
        <v>1271</v>
      </c>
      <c r="E1863" s="74" t="s">
        <v>1266</v>
      </c>
      <c r="F1863" s="74" t="s">
        <v>1267</v>
      </c>
      <c r="G1863" s="74" t="s">
        <v>1268</v>
      </c>
    </row>
    <row r="1864" spans="1:7" x14ac:dyDescent="0.2">
      <c r="A1864" s="40">
        <v>8026</v>
      </c>
      <c r="B1864" s="39" t="s">
        <v>174</v>
      </c>
      <c r="C1864" s="40" t="s">
        <v>2580</v>
      </c>
      <c r="D1864" s="74" t="s">
        <v>1271</v>
      </c>
      <c r="E1864" s="74" t="s">
        <v>1266</v>
      </c>
      <c r="F1864" s="74" t="s">
        <v>1267</v>
      </c>
      <c r="G1864" s="74" t="s">
        <v>1268</v>
      </c>
    </row>
    <row r="1865" spans="1:7" x14ac:dyDescent="0.2">
      <c r="A1865" s="40">
        <v>8027</v>
      </c>
      <c r="B1865" s="39" t="s">
        <v>174</v>
      </c>
      <c r="C1865" s="40" t="s">
        <v>2580</v>
      </c>
      <c r="D1865" s="74" t="s">
        <v>1271</v>
      </c>
      <c r="E1865" s="74" t="s">
        <v>1266</v>
      </c>
      <c r="F1865" s="74" t="s">
        <v>1267</v>
      </c>
      <c r="G1865" s="74" t="s">
        <v>1268</v>
      </c>
    </row>
    <row r="1866" spans="1:7" x14ac:dyDescent="0.2">
      <c r="A1866" s="40">
        <v>8028</v>
      </c>
      <c r="B1866" s="39" t="s">
        <v>174</v>
      </c>
      <c r="C1866" s="40" t="s">
        <v>2580</v>
      </c>
      <c r="D1866" s="74" t="s">
        <v>1271</v>
      </c>
      <c r="E1866" s="74" t="s">
        <v>1266</v>
      </c>
      <c r="F1866" s="74" t="s">
        <v>1267</v>
      </c>
      <c r="G1866" s="74" t="s">
        <v>1268</v>
      </c>
    </row>
    <row r="1867" spans="1:7" x14ac:dyDescent="0.2">
      <c r="A1867" s="40">
        <v>8029</v>
      </c>
      <c r="B1867" s="39" t="s">
        <v>174</v>
      </c>
      <c r="C1867" s="40" t="s">
        <v>2580</v>
      </c>
      <c r="D1867" s="74" t="s">
        <v>1271</v>
      </c>
      <c r="E1867" s="74" t="s">
        <v>1266</v>
      </c>
      <c r="F1867" s="74" t="s">
        <v>1267</v>
      </c>
      <c r="G1867" s="74" t="s">
        <v>1268</v>
      </c>
    </row>
    <row r="1868" spans="1:7" x14ac:dyDescent="0.2">
      <c r="A1868" s="40">
        <v>8035</v>
      </c>
      <c r="B1868" s="39" t="s">
        <v>174</v>
      </c>
      <c r="C1868" s="40" t="s">
        <v>2580</v>
      </c>
      <c r="D1868" s="74" t="s">
        <v>1271</v>
      </c>
      <c r="E1868" s="74" t="s">
        <v>1266</v>
      </c>
      <c r="F1868" s="74" t="s">
        <v>1267</v>
      </c>
      <c r="G1868" s="74" t="s">
        <v>1268</v>
      </c>
    </row>
    <row r="1869" spans="1:7" x14ac:dyDescent="0.2">
      <c r="A1869" s="40">
        <v>8036</v>
      </c>
      <c r="B1869" s="39" t="s">
        <v>174</v>
      </c>
      <c r="C1869" s="40" t="s">
        <v>2580</v>
      </c>
      <c r="D1869" s="74" t="s">
        <v>1269</v>
      </c>
      <c r="E1869" s="74" t="s">
        <v>1266</v>
      </c>
      <c r="F1869" s="74" t="s">
        <v>1268</v>
      </c>
      <c r="G1869" s="74" t="s">
        <v>1268</v>
      </c>
    </row>
    <row r="1870" spans="1:7" x14ac:dyDescent="0.2">
      <c r="A1870" s="40">
        <v>8041</v>
      </c>
      <c r="B1870" s="39" t="s">
        <v>2203</v>
      </c>
      <c r="C1870" s="40" t="s">
        <v>2580</v>
      </c>
      <c r="D1870" s="74" t="s">
        <v>1269</v>
      </c>
      <c r="E1870" s="74" t="s">
        <v>1266</v>
      </c>
      <c r="F1870" s="74" t="s">
        <v>1268</v>
      </c>
      <c r="G1870" s="74" t="s">
        <v>1268</v>
      </c>
    </row>
    <row r="1871" spans="1:7" x14ac:dyDescent="0.2">
      <c r="A1871" s="40">
        <v>8042</v>
      </c>
      <c r="B1871" s="39" t="s">
        <v>2204</v>
      </c>
      <c r="C1871" s="40" t="s">
        <v>2580</v>
      </c>
      <c r="D1871" s="74" t="s">
        <v>1269</v>
      </c>
      <c r="E1871" s="74" t="s">
        <v>1266</v>
      </c>
      <c r="F1871" s="74" t="s">
        <v>1268</v>
      </c>
      <c r="G1871" s="74" t="s">
        <v>1268</v>
      </c>
    </row>
    <row r="1872" spans="1:7" x14ac:dyDescent="0.2">
      <c r="A1872" s="40">
        <v>8043</v>
      </c>
      <c r="B1872" s="39" t="s">
        <v>2205</v>
      </c>
      <c r="C1872" s="40" t="s">
        <v>2580</v>
      </c>
      <c r="D1872" s="74" t="s">
        <v>1269</v>
      </c>
      <c r="E1872" s="74" t="s">
        <v>1266</v>
      </c>
      <c r="F1872" s="74" t="s">
        <v>1268</v>
      </c>
      <c r="G1872" s="74" t="s">
        <v>1268</v>
      </c>
    </row>
    <row r="1873" spans="1:7" x14ac:dyDescent="0.2">
      <c r="A1873" s="40">
        <v>8044</v>
      </c>
      <c r="B1873" s="39" t="s">
        <v>2206</v>
      </c>
      <c r="C1873" s="40" t="s">
        <v>2580</v>
      </c>
      <c r="D1873" s="74" t="s">
        <v>1269</v>
      </c>
      <c r="E1873" s="74" t="s">
        <v>1266</v>
      </c>
      <c r="F1873" s="74" t="s">
        <v>1268</v>
      </c>
      <c r="G1873" s="74" t="s">
        <v>1268</v>
      </c>
    </row>
    <row r="1874" spans="1:7" x14ac:dyDescent="0.2">
      <c r="A1874" s="40">
        <v>8045</v>
      </c>
      <c r="B1874" s="39" t="s">
        <v>2207</v>
      </c>
      <c r="C1874" s="40" t="s">
        <v>2580</v>
      </c>
      <c r="D1874" s="74" t="s">
        <v>1269</v>
      </c>
      <c r="E1874" s="74" t="s">
        <v>1266</v>
      </c>
      <c r="F1874" s="74" t="s">
        <v>1268</v>
      </c>
      <c r="G1874" s="74" t="s">
        <v>1268</v>
      </c>
    </row>
    <row r="1875" spans="1:7" x14ac:dyDescent="0.2">
      <c r="A1875" s="40">
        <v>8046</v>
      </c>
      <c r="B1875" s="39" t="s">
        <v>2208</v>
      </c>
      <c r="C1875" s="40" t="s">
        <v>2580</v>
      </c>
      <c r="D1875" s="74" t="s">
        <v>1269</v>
      </c>
      <c r="E1875" s="74" t="s">
        <v>1266</v>
      </c>
      <c r="F1875" s="74" t="s">
        <v>1268</v>
      </c>
      <c r="G1875" s="74" t="s">
        <v>1267</v>
      </c>
    </row>
    <row r="1876" spans="1:7" x14ac:dyDescent="0.2">
      <c r="A1876" s="40">
        <v>8047</v>
      </c>
      <c r="B1876" s="39" t="s">
        <v>2214</v>
      </c>
      <c r="C1876" s="40" t="s">
        <v>2580</v>
      </c>
      <c r="D1876" s="74" t="s">
        <v>1269</v>
      </c>
      <c r="E1876" s="74" t="s">
        <v>1266</v>
      </c>
      <c r="F1876" s="74" t="s">
        <v>1268</v>
      </c>
      <c r="G1876" s="74" t="s">
        <v>1268</v>
      </c>
    </row>
    <row r="1877" spans="1:7" x14ac:dyDescent="0.2">
      <c r="A1877" s="40">
        <v>8051</v>
      </c>
      <c r="B1877" s="39" t="s">
        <v>2215</v>
      </c>
      <c r="C1877" s="40" t="s">
        <v>2580</v>
      </c>
      <c r="D1877" s="74" t="s">
        <v>1269</v>
      </c>
      <c r="E1877" s="74" t="s">
        <v>1266</v>
      </c>
      <c r="F1877" s="74" t="s">
        <v>1268</v>
      </c>
      <c r="G1877" s="74" t="s">
        <v>1268</v>
      </c>
    </row>
    <row r="1878" spans="1:7" x14ac:dyDescent="0.2">
      <c r="A1878" s="40">
        <v>8052</v>
      </c>
      <c r="B1878" s="39" t="s">
        <v>2216</v>
      </c>
      <c r="C1878" s="40" t="s">
        <v>2580</v>
      </c>
      <c r="D1878" s="74" t="s">
        <v>1269</v>
      </c>
      <c r="E1878" s="74" t="s">
        <v>1266</v>
      </c>
      <c r="F1878" s="74" t="s">
        <v>1268</v>
      </c>
      <c r="G1878" s="74" t="s">
        <v>1268</v>
      </c>
    </row>
    <row r="1879" spans="1:7" x14ac:dyDescent="0.2">
      <c r="A1879" s="40">
        <v>8053</v>
      </c>
      <c r="B1879" s="39" t="s">
        <v>2217</v>
      </c>
      <c r="C1879" s="40" t="s">
        <v>2580</v>
      </c>
      <c r="D1879" s="74" t="s">
        <v>1269</v>
      </c>
      <c r="E1879" s="74" t="s">
        <v>1266</v>
      </c>
      <c r="F1879" s="74" t="s">
        <v>1268</v>
      </c>
      <c r="G1879" s="74" t="s">
        <v>1268</v>
      </c>
    </row>
    <row r="1880" spans="1:7" x14ac:dyDescent="0.2">
      <c r="A1880" s="40">
        <v>8054</v>
      </c>
      <c r="B1880" s="39" t="s">
        <v>2218</v>
      </c>
      <c r="C1880" s="40" t="s">
        <v>2580</v>
      </c>
      <c r="D1880" s="74" t="s">
        <v>1269</v>
      </c>
      <c r="E1880" s="74" t="s">
        <v>1266</v>
      </c>
      <c r="F1880" s="74" t="s">
        <v>1268</v>
      </c>
      <c r="G1880" s="74" t="s">
        <v>1268</v>
      </c>
    </row>
    <row r="1881" spans="1:7" x14ac:dyDescent="0.2">
      <c r="A1881" s="40">
        <v>8055</v>
      </c>
      <c r="B1881" s="39" t="s">
        <v>2219</v>
      </c>
      <c r="C1881" s="40" t="s">
        <v>2580</v>
      </c>
      <c r="D1881" s="74" t="s">
        <v>1269</v>
      </c>
      <c r="E1881" s="74" t="s">
        <v>1266</v>
      </c>
      <c r="F1881" s="74" t="s">
        <v>1268</v>
      </c>
      <c r="G1881" s="74" t="s">
        <v>1268</v>
      </c>
    </row>
    <row r="1882" spans="1:7" x14ac:dyDescent="0.2">
      <c r="A1882" s="40">
        <v>8061</v>
      </c>
      <c r="B1882" s="39" t="s">
        <v>2221</v>
      </c>
      <c r="C1882" s="40" t="s">
        <v>2580</v>
      </c>
      <c r="D1882" s="74" t="s">
        <v>1269</v>
      </c>
      <c r="E1882" s="74" t="s">
        <v>1266</v>
      </c>
      <c r="F1882" s="74" t="s">
        <v>1268</v>
      </c>
      <c r="G1882" s="74" t="s">
        <v>1268</v>
      </c>
    </row>
    <row r="1883" spans="1:7" x14ac:dyDescent="0.2">
      <c r="A1883" s="40">
        <v>8062</v>
      </c>
      <c r="B1883" s="39" t="s">
        <v>2222</v>
      </c>
      <c r="C1883" s="40" t="s">
        <v>2580</v>
      </c>
      <c r="D1883" s="74" t="s">
        <v>1269</v>
      </c>
      <c r="E1883" s="74" t="s">
        <v>1266</v>
      </c>
      <c r="F1883" s="74" t="s">
        <v>1268</v>
      </c>
      <c r="G1883" s="74" t="s">
        <v>1268</v>
      </c>
    </row>
    <row r="1884" spans="1:7" x14ac:dyDescent="0.2">
      <c r="A1884" s="40">
        <v>8063</v>
      </c>
      <c r="B1884" s="39" t="s">
        <v>2223</v>
      </c>
      <c r="C1884" s="40" t="s">
        <v>2580</v>
      </c>
      <c r="D1884" s="74" t="s">
        <v>1269</v>
      </c>
      <c r="E1884" s="74" t="s">
        <v>1266</v>
      </c>
      <c r="F1884" s="74" t="s">
        <v>1268</v>
      </c>
      <c r="G1884" s="74" t="s">
        <v>1268</v>
      </c>
    </row>
    <row r="1885" spans="1:7" x14ac:dyDescent="0.2">
      <c r="A1885" s="40">
        <v>8071</v>
      </c>
      <c r="B1885" s="39" t="s">
        <v>2224</v>
      </c>
      <c r="C1885" s="40" t="s">
        <v>2580</v>
      </c>
      <c r="D1885" s="74" t="s">
        <v>1269</v>
      </c>
      <c r="E1885" s="74" t="s">
        <v>1266</v>
      </c>
      <c r="F1885" s="74" t="s">
        <v>1268</v>
      </c>
      <c r="G1885" s="74" t="s">
        <v>1268</v>
      </c>
    </row>
    <row r="1886" spans="1:7" x14ac:dyDescent="0.2">
      <c r="A1886" s="40">
        <v>8072</v>
      </c>
      <c r="B1886" s="39" t="s">
        <v>2225</v>
      </c>
      <c r="C1886" s="40" t="s">
        <v>2580</v>
      </c>
      <c r="D1886" s="74" t="s">
        <v>1269</v>
      </c>
      <c r="E1886" s="74" t="s">
        <v>1266</v>
      </c>
      <c r="F1886" s="74" t="s">
        <v>1268</v>
      </c>
      <c r="G1886" s="74" t="s">
        <v>1268</v>
      </c>
    </row>
    <row r="1887" spans="1:7" x14ac:dyDescent="0.2">
      <c r="A1887" s="40">
        <v>8073</v>
      </c>
      <c r="B1887" s="39" t="s">
        <v>2226</v>
      </c>
      <c r="C1887" s="40" t="s">
        <v>2580</v>
      </c>
      <c r="D1887" s="74" t="s">
        <v>1269</v>
      </c>
      <c r="E1887" s="74" t="s">
        <v>1266</v>
      </c>
      <c r="F1887" s="74" t="s">
        <v>1268</v>
      </c>
      <c r="G1887" s="74" t="s">
        <v>1268</v>
      </c>
    </row>
    <row r="1888" spans="1:7" x14ac:dyDescent="0.2">
      <c r="A1888" s="40">
        <v>8074</v>
      </c>
      <c r="B1888" s="39" t="s">
        <v>2227</v>
      </c>
      <c r="C1888" s="40" t="s">
        <v>2580</v>
      </c>
      <c r="D1888" s="74" t="s">
        <v>1269</v>
      </c>
      <c r="E1888" s="74" t="s">
        <v>1266</v>
      </c>
      <c r="F1888" s="74" t="s">
        <v>1268</v>
      </c>
      <c r="G1888" s="74" t="s">
        <v>1268</v>
      </c>
    </row>
    <row r="1889" spans="1:7" x14ac:dyDescent="0.2">
      <c r="A1889" s="40">
        <v>8075</v>
      </c>
      <c r="B1889" s="39" t="s">
        <v>2228</v>
      </c>
      <c r="C1889" s="40" t="s">
        <v>2580</v>
      </c>
      <c r="D1889" s="74" t="s">
        <v>1269</v>
      </c>
      <c r="E1889" s="74" t="s">
        <v>1266</v>
      </c>
      <c r="F1889" s="74" t="s">
        <v>1268</v>
      </c>
      <c r="G1889" s="74" t="s">
        <v>1268</v>
      </c>
    </row>
    <row r="1890" spans="1:7" x14ac:dyDescent="0.2">
      <c r="A1890" s="40">
        <v>8081</v>
      </c>
      <c r="B1890" s="39" t="s">
        <v>2229</v>
      </c>
      <c r="C1890" s="40" t="s">
        <v>2580</v>
      </c>
      <c r="D1890" s="74" t="s">
        <v>1269</v>
      </c>
      <c r="E1890" s="74" t="s">
        <v>1266</v>
      </c>
      <c r="F1890" s="74" t="s">
        <v>1268</v>
      </c>
      <c r="G1890" s="74" t="s">
        <v>1268</v>
      </c>
    </row>
    <row r="1891" spans="1:7" x14ac:dyDescent="0.2">
      <c r="A1891" s="40">
        <v>8082</v>
      </c>
      <c r="B1891" s="39" t="s">
        <v>2230</v>
      </c>
      <c r="C1891" s="40" t="s">
        <v>2580</v>
      </c>
      <c r="D1891" s="74" t="s">
        <v>1269</v>
      </c>
      <c r="E1891" s="74" t="s">
        <v>1266</v>
      </c>
      <c r="F1891" s="74" t="s">
        <v>1268</v>
      </c>
      <c r="G1891" s="74" t="s">
        <v>1268</v>
      </c>
    </row>
    <row r="1892" spans="1:7" x14ac:dyDescent="0.2">
      <c r="A1892" s="40">
        <v>8083</v>
      </c>
      <c r="B1892" s="39" t="s">
        <v>2231</v>
      </c>
      <c r="C1892" s="40" t="s">
        <v>2580</v>
      </c>
      <c r="D1892" s="74" t="s">
        <v>1269</v>
      </c>
      <c r="E1892" s="74" t="s">
        <v>1266</v>
      </c>
      <c r="F1892" s="74" t="s">
        <v>1268</v>
      </c>
      <c r="G1892" s="74" t="s">
        <v>1268</v>
      </c>
    </row>
    <row r="1893" spans="1:7" x14ac:dyDescent="0.2">
      <c r="A1893" s="40">
        <v>8091</v>
      </c>
      <c r="B1893" s="39" t="s">
        <v>2232</v>
      </c>
      <c r="C1893" s="40" t="s">
        <v>2580</v>
      </c>
      <c r="D1893" s="74" t="s">
        <v>1269</v>
      </c>
      <c r="E1893" s="74" t="s">
        <v>1266</v>
      </c>
      <c r="F1893" s="74" t="s">
        <v>1268</v>
      </c>
      <c r="G1893" s="74" t="s">
        <v>1267</v>
      </c>
    </row>
    <row r="1894" spans="1:7" x14ac:dyDescent="0.2">
      <c r="A1894" s="40">
        <v>8092</v>
      </c>
      <c r="B1894" s="39" t="s">
        <v>2233</v>
      </c>
      <c r="C1894" s="40" t="s">
        <v>2580</v>
      </c>
      <c r="D1894" s="74" t="s">
        <v>1269</v>
      </c>
      <c r="E1894" s="74" t="s">
        <v>1266</v>
      </c>
      <c r="F1894" s="74" t="s">
        <v>1268</v>
      </c>
      <c r="G1894" s="74" t="s">
        <v>1267</v>
      </c>
    </row>
    <row r="1895" spans="1:7" x14ac:dyDescent="0.2">
      <c r="A1895" s="40">
        <v>8093</v>
      </c>
      <c r="B1895" s="39" t="s">
        <v>2234</v>
      </c>
      <c r="C1895" s="40" t="s">
        <v>2580</v>
      </c>
      <c r="D1895" s="74" t="s">
        <v>1269</v>
      </c>
      <c r="E1895" s="74" t="s">
        <v>1266</v>
      </c>
      <c r="F1895" s="74" t="s">
        <v>1268</v>
      </c>
      <c r="G1895" s="74" t="s">
        <v>1268</v>
      </c>
    </row>
    <row r="1896" spans="1:7" x14ac:dyDescent="0.2">
      <c r="A1896" s="40">
        <v>8101</v>
      </c>
      <c r="B1896" s="39" t="s">
        <v>2235</v>
      </c>
      <c r="C1896" s="40" t="s">
        <v>2580</v>
      </c>
      <c r="D1896" s="74" t="s">
        <v>1269</v>
      </c>
      <c r="E1896" s="74" t="s">
        <v>1266</v>
      </c>
      <c r="F1896" s="74" t="s">
        <v>1268</v>
      </c>
      <c r="G1896" s="74" t="s">
        <v>1268</v>
      </c>
    </row>
    <row r="1897" spans="1:7" x14ac:dyDescent="0.2">
      <c r="A1897" s="40">
        <v>8102</v>
      </c>
      <c r="B1897" s="39" t="s">
        <v>2236</v>
      </c>
      <c r="C1897" s="40" t="s">
        <v>2580</v>
      </c>
      <c r="D1897" s="74" t="s">
        <v>1269</v>
      </c>
      <c r="E1897" s="74" t="s">
        <v>1266</v>
      </c>
      <c r="F1897" s="74" t="s">
        <v>1268</v>
      </c>
      <c r="G1897" s="74" t="s">
        <v>1268</v>
      </c>
    </row>
    <row r="1898" spans="1:7" x14ac:dyDescent="0.2">
      <c r="A1898" s="40">
        <v>8103</v>
      </c>
      <c r="B1898" s="39" t="s">
        <v>2237</v>
      </c>
      <c r="C1898" s="40" t="s">
        <v>2580</v>
      </c>
      <c r="D1898" s="74" t="s">
        <v>1269</v>
      </c>
      <c r="E1898" s="74" t="s">
        <v>1266</v>
      </c>
      <c r="F1898" s="74" t="s">
        <v>1268</v>
      </c>
      <c r="G1898" s="74" t="s">
        <v>1267</v>
      </c>
    </row>
    <row r="1899" spans="1:7" x14ac:dyDescent="0.2">
      <c r="A1899" s="40">
        <v>8111</v>
      </c>
      <c r="B1899" s="39" t="s">
        <v>2238</v>
      </c>
      <c r="C1899" s="40" t="s">
        <v>2580</v>
      </c>
      <c r="D1899" s="74" t="s">
        <v>1269</v>
      </c>
      <c r="E1899" s="74" t="s">
        <v>1266</v>
      </c>
      <c r="F1899" s="74" t="s">
        <v>1268</v>
      </c>
      <c r="G1899" s="74" t="s">
        <v>1268</v>
      </c>
    </row>
    <row r="1900" spans="1:7" x14ac:dyDescent="0.2">
      <c r="A1900" s="40">
        <v>8112</v>
      </c>
      <c r="B1900" s="39" t="s">
        <v>2239</v>
      </c>
      <c r="C1900" s="40" t="s">
        <v>2580</v>
      </c>
      <c r="D1900" s="74" t="s">
        <v>1269</v>
      </c>
      <c r="E1900" s="74" t="s">
        <v>1266</v>
      </c>
      <c r="F1900" s="74" t="s">
        <v>1268</v>
      </c>
      <c r="G1900" s="74" t="s">
        <v>1268</v>
      </c>
    </row>
    <row r="1901" spans="1:7" x14ac:dyDescent="0.2">
      <c r="A1901" s="40">
        <v>8113</v>
      </c>
      <c r="B1901" s="39" t="s">
        <v>2240</v>
      </c>
      <c r="C1901" s="40" t="s">
        <v>2580</v>
      </c>
      <c r="D1901" s="74" t="s">
        <v>1269</v>
      </c>
      <c r="E1901" s="74" t="s">
        <v>1266</v>
      </c>
      <c r="F1901" s="74" t="s">
        <v>1268</v>
      </c>
      <c r="G1901" s="74" t="s">
        <v>1267</v>
      </c>
    </row>
    <row r="1902" spans="1:7" x14ac:dyDescent="0.2">
      <c r="A1902" s="40">
        <v>8114</v>
      </c>
      <c r="B1902" s="39" t="s">
        <v>2241</v>
      </c>
      <c r="C1902" s="40" t="s">
        <v>2580</v>
      </c>
      <c r="D1902" s="74" t="s">
        <v>1269</v>
      </c>
      <c r="E1902" s="74" t="s">
        <v>1266</v>
      </c>
      <c r="F1902" s="74" t="s">
        <v>1268</v>
      </c>
      <c r="G1902" s="74" t="s">
        <v>1267</v>
      </c>
    </row>
    <row r="1903" spans="1:7" x14ac:dyDescent="0.2">
      <c r="A1903" s="40">
        <v>8120</v>
      </c>
      <c r="B1903" s="39" t="s">
        <v>2242</v>
      </c>
      <c r="C1903" s="40" t="s">
        <v>2580</v>
      </c>
      <c r="D1903" s="74" t="s">
        <v>1269</v>
      </c>
      <c r="E1903" s="74" t="s">
        <v>1266</v>
      </c>
      <c r="F1903" s="74" t="s">
        <v>1268</v>
      </c>
      <c r="G1903" s="74" t="s">
        <v>1267</v>
      </c>
    </row>
    <row r="1904" spans="1:7" x14ac:dyDescent="0.2">
      <c r="A1904" s="40">
        <v>8121</v>
      </c>
      <c r="B1904" s="39" t="s">
        <v>2243</v>
      </c>
      <c r="C1904" s="40" t="s">
        <v>2580</v>
      </c>
      <c r="D1904" s="74" t="s">
        <v>1269</v>
      </c>
      <c r="E1904" s="74" t="s">
        <v>1266</v>
      </c>
      <c r="F1904" s="74" t="s">
        <v>1268</v>
      </c>
      <c r="G1904" s="74" t="s">
        <v>1268</v>
      </c>
    </row>
    <row r="1905" spans="1:7" x14ac:dyDescent="0.2">
      <c r="A1905" s="40">
        <v>8122</v>
      </c>
      <c r="B1905" s="39" t="s">
        <v>2244</v>
      </c>
      <c r="C1905" s="40" t="s">
        <v>2580</v>
      </c>
      <c r="D1905" s="74" t="s">
        <v>1269</v>
      </c>
      <c r="E1905" s="74" t="s">
        <v>1266</v>
      </c>
      <c r="F1905" s="74" t="s">
        <v>1268</v>
      </c>
      <c r="G1905" s="74" t="s">
        <v>1267</v>
      </c>
    </row>
    <row r="1906" spans="1:7" x14ac:dyDescent="0.2">
      <c r="A1906" s="40">
        <v>8124</v>
      </c>
      <c r="B1906" s="39" t="s">
        <v>2245</v>
      </c>
      <c r="C1906" s="40" t="s">
        <v>2580</v>
      </c>
      <c r="D1906" s="74" t="s">
        <v>1269</v>
      </c>
      <c r="E1906" s="74" t="s">
        <v>1266</v>
      </c>
      <c r="F1906" s="74" t="s">
        <v>1268</v>
      </c>
      <c r="G1906" s="74" t="s">
        <v>1268</v>
      </c>
    </row>
    <row r="1907" spans="1:7" x14ac:dyDescent="0.2">
      <c r="A1907" s="40">
        <v>8130</v>
      </c>
      <c r="B1907" s="39" t="s">
        <v>2246</v>
      </c>
      <c r="C1907" s="40" t="s">
        <v>2580</v>
      </c>
      <c r="D1907" s="74" t="s">
        <v>1269</v>
      </c>
      <c r="E1907" s="74" t="s">
        <v>1266</v>
      </c>
      <c r="F1907" s="74" t="s">
        <v>1268</v>
      </c>
      <c r="G1907" s="74" t="s">
        <v>1268</v>
      </c>
    </row>
    <row r="1908" spans="1:7" x14ac:dyDescent="0.2">
      <c r="A1908" s="40">
        <v>8131</v>
      </c>
      <c r="B1908" s="39" t="s">
        <v>2247</v>
      </c>
      <c r="C1908" s="40" t="s">
        <v>2580</v>
      </c>
      <c r="D1908" s="74" t="s">
        <v>1269</v>
      </c>
      <c r="E1908" s="74" t="s">
        <v>1266</v>
      </c>
      <c r="F1908" s="74" t="s">
        <v>1268</v>
      </c>
      <c r="G1908" s="74" t="s">
        <v>1267</v>
      </c>
    </row>
    <row r="1909" spans="1:7" x14ac:dyDescent="0.2">
      <c r="A1909" s="40">
        <v>8132</v>
      </c>
      <c r="B1909" s="39" t="s">
        <v>2248</v>
      </c>
      <c r="C1909" s="40" t="s">
        <v>2580</v>
      </c>
      <c r="D1909" s="74" t="s">
        <v>1269</v>
      </c>
      <c r="E1909" s="74" t="s">
        <v>1266</v>
      </c>
      <c r="F1909" s="74" t="s">
        <v>1268</v>
      </c>
      <c r="G1909" s="74" t="s">
        <v>1267</v>
      </c>
    </row>
    <row r="1910" spans="1:7" x14ac:dyDescent="0.2">
      <c r="A1910" s="40">
        <v>8141</v>
      </c>
      <c r="B1910" s="39" t="s">
        <v>2249</v>
      </c>
      <c r="C1910" s="40" t="s">
        <v>2580</v>
      </c>
      <c r="D1910" s="74" t="s">
        <v>1269</v>
      </c>
      <c r="E1910" s="74" t="s">
        <v>1266</v>
      </c>
      <c r="F1910" s="74" t="s">
        <v>1268</v>
      </c>
      <c r="G1910" s="74" t="s">
        <v>1268</v>
      </c>
    </row>
    <row r="1911" spans="1:7" x14ac:dyDescent="0.2">
      <c r="A1911" s="40">
        <v>8142</v>
      </c>
      <c r="B1911" s="39" t="s">
        <v>2250</v>
      </c>
      <c r="C1911" s="40" t="s">
        <v>2580</v>
      </c>
      <c r="D1911" s="74" t="s">
        <v>1269</v>
      </c>
      <c r="E1911" s="74" t="s">
        <v>1266</v>
      </c>
      <c r="F1911" s="74" t="s">
        <v>1268</v>
      </c>
      <c r="G1911" s="74" t="s">
        <v>1268</v>
      </c>
    </row>
    <row r="1912" spans="1:7" x14ac:dyDescent="0.2">
      <c r="A1912" s="40">
        <v>8143</v>
      </c>
      <c r="B1912" s="39" t="s">
        <v>2251</v>
      </c>
      <c r="C1912" s="40" t="s">
        <v>2580</v>
      </c>
      <c r="D1912" s="74" t="s">
        <v>1269</v>
      </c>
      <c r="E1912" s="74" t="s">
        <v>1266</v>
      </c>
      <c r="F1912" s="74" t="s">
        <v>1268</v>
      </c>
      <c r="G1912" s="74" t="s">
        <v>1267</v>
      </c>
    </row>
    <row r="1913" spans="1:7" x14ac:dyDescent="0.2">
      <c r="A1913" s="40">
        <v>8144</v>
      </c>
      <c r="B1913" s="39" t="s">
        <v>2252</v>
      </c>
      <c r="C1913" s="40" t="s">
        <v>2580</v>
      </c>
      <c r="D1913" s="74" t="s">
        <v>1269</v>
      </c>
      <c r="E1913" s="74" t="s">
        <v>1266</v>
      </c>
      <c r="F1913" s="74" t="s">
        <v>1268</v>
      </c>
      <c r="G1913" s="74" t="s">
        <v>1267</v>
      </c>
    </row>
    <row r="1914" spans="1:7" x14ac:dyDescent="0.2">
      <c r="A1914" s="40">
        <v>8151</v>
      </c>
      <c r="B1914" s="39" t="s">
        <v>2253</v>
      </c>
      <c r="C1914" s="40" t="s">
        <v>2580</v>
      </c>
      <c r="D1914" s="74" t="s">
        <v>1269</v>
      </c>
      <c r="E1914" s="74" t="s">
        <v>1266</v>
      </c>
      <c r="F1914" s="74" t="s">
        <v>1268</v>
      </c>
      <c r="G1914" s="74" t="s">
        <v>1268</v>
      </c>
    </row>
    <row r="1915" spans="1:7" x14ac:dyDescent="0.2">
      <c r="A1915" s="40">
        <v>8152</v>
      </c>
      <c r="B1915" s="39" t="s">
        <v>2254</v>
      </c>
      <c r="C1915" s="40" t="s">
        <v>2580</v>
      </c>
      <c r="D1915" s="74" t="s">
        <v>1269</v>
      </c>
      <c r="E1915" s="74" t="s">
        <v>1266</v>
      </c>
      <c r="F1915" s="74" t="s">
        <v>1268</v>
      </c>
      <c r="G1915" s="74" t="s">
        <v>1268</v>
      </c>
    </row>
    <row r="1916" spans="1:7" x14ac:dyDescent="0.2">
      <c r="A1916" s="40">
        <v>8153</v>
      </c>
      <c r="B1916" s="39" t="s">
        <v>2255</v>
      </c>
      <c r="C1916" s="40" t="s">
        <v>2580</v>
      </c>
      <c r="D1916" s="74" t="s">
        <v>1269</v>
      </c>
      <c r="E1916" s="74" t="s">
        <v>1266</v>
      </c>
      <c r="F1916" s="74" t="s">
        <v>1268</v>
      </c>
      <c r="G1916" s="74" t="s">
        <v>1267</v>
      </c>
    </row>
    <row r="1917" spans="1:7" x14ac:dyDescent="0.2">
      <c r="A1917" s="40">
        <v>8160</v>
      </c>
      <c r="B1917" s="39" t="s">
        <v>2256</v>
      </c>
      <c r="C1917" s="40" t="s">
        <v>2580</v>
      </c>
      <c r="D1917" s="74" t="s">
        <v>1269</v>
      </c>
      <c r="E1917" s="74" t="s">
        <v>1266</v>
      </c>
      <c r="F1917" s="74" t="s">
        <v>1268</v>
      </c>
      <c r="G1917" s="74" t="s">
        <v>1268</v>
      </c>
    </row>
    <row r="1918" spans="1:7" x14ac:dyDescent="0.2">
      <c r="A1918" s="40">
        <v>8162</v>
      </c>
      <c r="B1918" s="39" t="s">
        <v>2257</v>
      </c>
      <c r="C1918" s="40" t="s">
        <v>2580</v>
      </c>
      <c r="D1918" s="74" t="s">
        <v>1269</v>
      </c>
      <c r="E1918" s="74" t="s">
        <v>1266</v>
      </c>
      <c r="F1918" s="74" t="s">
        <v>1268</v>
      </c>
      <c r="G1918" s="74" t="s">
        <v>1268</v>
      </c>
    </row>
    <row r="1919" spans="1:7" x14ac:dyDescent="0.2">
      <c r="A1919" s="40">
        <v>8163</v>
      </c>
      <c r="B1919" s="39" t="s">
        <v>2258</v>
      </c>
      <c r="C1919" s="40" t="s">
        <v>2580</v>
      </c>
      <c r="D1919" s="74" t="s">
        <v>1269</v>
      </c>
      <c r="E1919" s="74" t="s">
        <v>1266</v>
      </c>
      <c r="F1919" s="74" t="s">
        <v>1268</v>
      </c>
      <c r="G1919" s="74" t="s">
        <v>1267</v>
      </c>
    </row>
    <row r="1920" spans="1:7" x14ac:dyDescent="0.2">
      <c r="A1920" s="40">
        <v>8171</v>
      </c>
      <c r="B1920" s="39" t="s">
        <v>2259</v>
      </c>
      <c r="C1920" s="40" t="s">
        <v>2580</v>
      </c>
      <c r="D1920" s="74" t="s">
        <v>1269</v>
      </c>
      <c r="E1920" s="74" t="s">
        <v>1266</v>
      </c>
      <c r="F1920" s="74" t="s">
        <v>1268</v>
      </c>
      <c r="G1920" s="74" t="s">
        <v>1267</v>
      </c>
    </row>
    <row r="1921" spans="1:7" x14ac:dyDescent="0.2">
      <c r="A1921" s="40">
        <v>8172</v>
      </c>
      <c r="B1921" s="39" t="s">
        <v>2260</v>
      </c>
      <c r="C1921" s="40" t="s">
        <v>2580</v>
      </c>
      <c r="D1921" s="74" t="s">
        <v>1269</v>
      </c>
      <c r="E1921" s="74" t="s">
        <v>1266</v>
      </c>
      <c r="F1921" s="74" t="s">
        <v>1268</v>
      </c>
      <c r="G1921" s="74" t="s">
        <v>1267</v>
      </c>
    </row>
    <row r="1922" spans="1:7" x14ac:dyDescent="0.2">
      <c r="A1922" s="40">
        <v>8181</v>
      </c>
      <c r="B1922" s="39" t="s">
        <v>2261</v>
      </c>
      <c r="C1922" s="40" t="s">
        <v>2580</v>
      </c>
      <c r="D1922" s="74" t="s">
        <v>1269</v>
      </c>
      <c r="E1922" s="74" t="s">
        <v>1266</v>
      </c>
      <c r="F1922" s="74" t="s">
        <v>1268</v>
      </c>
      <c r="G1922" s="74" t="s">
        <v>1268</v>
      </c>
    </row>
    <row r="1923" spans="1:7" x14ac:dyDescent="0.2">
      <c r="A1923" s="40">
        <v>8182</v>
      </c>
      <c r="B1923" s="39" t="s">
        <v>2262</v>
      </c>
      <c r="C1923" s="40" t="s">
        <v>2580</v>
      </c>
      <c r="D1923" s="74" t="s">
        <v>1269</v>
      </c>
      <c r="E1923" s="74" t="s">
        <v>1266</v>
      </c>
      <c r="F1923" s="74" t="s">
        <v>1268</v>
      </c>
      <c r="G1923" s="74" t="s">
        <v>1267</v>
      </c>
    </row>
    <row r="1924" spans="1:7" x14ac:dyDescent="0.2">
      <c r="A1924" s="40">
        <v>8183</v>
      </c>
      <c r="B1924" s="39" t="s">
        <v>2263</v>
      </c>
      <c r="C1924" s="40" t="s">
        <v>2580</v>
      </c>
      <c r="D1924" s="74" t="s">
        <v>1269</v>
      </c>
      <c r="E1924" s="74" t="s">
        <v>1266</v>
      </c>
      <c r="F1924" s="74" t="s">
        <v>1268</v>
      </c>
      <c r="G1924" s="74" t="s">
        <v>1267</v>
      </c>
    </row>
    <row r="1925" spans="1:7" x14ac:dyDescent="0.2">
      <c r="A1925" s="40">
        <v>8184</v>
      </c>
      <c r="B1925" s="39" t="s">
        <v>2264</v>
      </c>
      <c r="C1925" s="40" t="s">
        <v>2580</v>
      </c>
      <c r="D1925" s="74" t="s">
        <v>1269</v>
      </c>
      <c r="E1925" s="74" t="s">
        <v>1266</v>
      </c>
      <c r="F1925" s="74" t="s">
        <v>1268</v>
      </c>
      <c r="G1925" s="74" t="s">
        <v>1268</v>
      </c>
    </row>
    <row r="1926" spans="1:7" x14ac:dyDescent="0.2">
      <c r="A1926" s="40">
        <v>8190</v>
      </c>
      <c r="B1926" s="39" t="s">
        <v>2265</v>
      </c>
      <c r="C1926" s="40" t="s">
        <v>2580</v>
      </c>
      <c r="D1926" s="74" t="s">
        <v>1269</v>
      </c>
      <c r="E1926" s="74" t="s">
        <v>1266</v>
      </c>
      <c r="F1926" s="74" t="s">
        <v>1268</v>
      </c>
      <c r="G1926" s="74" t="s">
        <v>1268</v>
      </c>
    </row>
    <row r="1927" spans="1:7" x14ac:dyDescent="0.2">
      <c r="A1927" s="40">
        <v>8191</v>
      </c>
      <c r="B1927" s="39" t="s">
        <v>2266</v>
      </c>
      <c r="C1927" s="40" t="s">
        <v>2580</v>
      </c>
      <c r="D1927" s="74" t="s">
        <v>1269</v>
      </c>
      <c r="E1927" s="74" t="s">
        <v>1266</v>
      </c>
      <c r="F1927" s="74" t="s">
        <v>1268</v>
      </c>
      <c r="G1927" s="74" t="s">
        <v>1267</v>
      </c>
    </row>
    <row r="1928" spans="1:7" x14ac:dyDescent="0.2">
      <c r="A1928" s="40">
        <v>8192</v>
      </c>
      <c r="B1928" s="39" t="s">
        <v>2267</v>
      </c>
      <c r="C1928" s="40" t="s">
        <v>2580</v>
      </c>
      <c r="D1928" s="74" t="s">
        <v>1269</v>
      </c>
      <c r="E1928" s="74" t="s">
        <v>1266</v>
      </c>
      <c r="F1928" s="74" t="s">
        <v>1268</v>
      </c>
      <c r="G1928" s="74" t="s">
        <v>1267</v>
      </c>
    </row>
    <row r="1929" spans="1:7" x14ac:dyDescent="0.2">
      <c r="A1929" s="40">
        <v>8200</v>
      </c>
      <c r="B1929" s="39" t="s">
        <v>2268</v>
      </c>
      <c r="C1929" s="40" t="s">
        <v>2580</v>
      </c>
      <c r="D1929" s="74" t="s">
        <v>1269</v>
      </c>
      <c r="E1929" s="74" t="s">
        <v>1266</v>
      </c>
      <c r="F1929" s="74" t="s">
        <v>1268</v>
      </c>
      <c r="G1929" s="74" t="s">
        <v>1268</v>
      </c>
    </row>
    <row r="1930" spans="1:7" x14ac:dyDescent="0.2">
      <c r="A1930" s="40">
        <v>8211</v>
      </c>
      <c r="B1930" s="39" t="s">
        <v>2269</v>
      </c>
      <c r="C1930" s="40" t="s">
        <v>2580</v>
      </c>
      <c r="D1930" s="74" t="s">
        <v>1269</v>
      </c>
      <c r="E1930" s="74" t="s">
        <v>1266</v>
      </c>
      <c r="F1930" s="74" t="s">
        <v>1268</v>
      </c>
      <c r="G1930" s="74" t="s">
        <v>1267</v>
      </c>
    </row>
    <row r="1931" spans="1:7" x14ac:dyDescent="0.2">
      <c r="A1931" s="40">
        <v>8212</v>
      </c>
      <c r="B1931" s="39" t="s">
        <v>2270</v>
      </c>
      <c r="C1931" s="40" t="s">
        <v>2580</v>
      </c>
      <c r="D1931" s="74" t="s">
        <v>1269</v>
      </c>
      <c r="E1931" s="74" t="s">
        <v>1266</v>
      </c>
      <c r="F1931" s="74" t="s">
        <v>1268</v>
      </c>
      <c r="G1931" s="74" t="s">
        <v>1268</v>
      </c>
    </row>
    <row r="1932" spans="1:7" x14ac:dyDescent="0.2">
      <c r="A1932" s="40">
        <v>8221</v>
      </c>
      <c r="B1932" s="39" t="s">
        <v>2271</v>
      </c>
      <c r="C1932" s="40" t="s">
        <v>2580</v>
      </c>
      <c r="D1932" s="74" t="s">
        <v>1269</v>
      </c>
      <c r="E1932" s="74" t="s">
        <v>1266</v>
      </c>
      <c r="F1932" s="74" t="s">
        <v>1268</v>
      </c>
      <c r="G1932" s="74" t="s">
        <v>1267</v>
      </c>
    </row>
    <row r="1933" spans="1:7" x14ac:dyDescent="0.2">
      <c r="A1933" s="40">
        <v>8222</v>
      </c>
      <c r="B1933" s="39" t="s">
        <v>2272</v>
      </c>
      <c r="C1933" s="40" t="s">
        <v>2580</v>
      </c>
      <c r="D1933" s="74" t="s">
        <v>1269</v>
      </c>
      <c r="E1933" s="74" t="s">
        <v>1266</v>
      </c>
      <c r="F1933" s="74" t="s">
        <v>1268</v>
      </c>
      <c r="G1933" s="74" t="s">
        <v>1267</v>
      </c>
    </row>
    <row r="1934" spans="1:7" x14ac:dyDescent="0.2">
      <c r="A1934" s="40">
        <v>8223</v>
      </c>
      <c r="B1934" s="39" t="s">
        <v>2273</v>
      </c>
      <c r="C1934" s="40" t="s">
        <v>2580</v>
      </c>
      <c r="D1934" s="74" t="s">
        <v>1269</v>
      </c>
      <c r="E1934" s="74" t="s">
        <v>1266</v>
      </c>
      <c r="F1934" s="74" t="s">
        <v>1268</v>
      </c>
      <c r="G1934" s="74" t="s">
        <v>1268</v>
      </c>
    </row>
    <row r="1935" spans="1:7" x14ac:dyDescent="0.2">
      <c r="A1935" s="40">
        <v>8224</v>
      </c>
      <c r="B1935" s="39" t="s">
        <v>2274</v>
      </c>
      <c r="C1935" s="40" t="s">
        <v>2580</v>
      </c>
      <c r="D1935" s="74" t="s">
        <v>1269</v>
      </c>
      <c r="E1935" s="74" t="s">
        <v>1266</v>
      </c>
      <c r="F1935" s="74" t="s">
        <v>1268</v>
      </c>
      <c r="G1935" s="74" t="s">
        <v>1268</v>
      </c>
    </row>
    <row r="1936" spans="1:7" x14ac:dyDescent="0.2">
      <c r="A1936" s="40">
        <v>8225</v>
      </c>
      <c r="B1936" s="39" t="s">
        <v>2275</v>
      </c>
      <c r="C1936" s="40" t="s">
        <v>2580</v>
      </c>
      <c r="D1936" s="74" t="s">
        <v>1269</v>
      </c>
      <c r="E1936" s="74" t="s">
        <v>1266</v>
      </c>
      <c r="F1936" s="74" t="s">
        <v>1268</v>
      </c>
      <c r="G1936" s="74" t="s">
        <v>1268</v>
      </c>
    </row>
    <row r="1937" spans="1:7" x14ac:dyDescent="0.2">
      <c r="A1937" s="40">
        <v>8230</v>
      </c>
      <c r="B1937" s="39" t="s">
        <v>2276</v>
      </c>
      <c r="C1937" s="40" t="s">
        <v>2580</v>
      </c>
      <c r="D1937" s="74" t="s">
        <v>1269</v>
      </c>
      <c r="E1937" s="74" t="s">
        <v>1266</v>
      </c>
      <c r="F1937" s="74" t="s">
        <v>1268</v>
      </c>
      <c r="G1937" s="74" t="s">
        <v>1268</v>
      </c>
    </row>
    <row r="1938" spans="1:7" x14ac:dyDescent="0.2">
      <c r="A1938" s="40">
        <v>8232</v>
      </c>
      <c r="B1938" s="39" t="s">
        <v>2277</v>
      </c>
      <c r="C1938" s="40" t="s">
        <v>2580</v>
      </c>
      <c r="D1938" s="74" t="s">
        <v>1269</v>
      </c>
      <c r="E1938" s="74" t="s">
        <v>1266</v>
      </c>
      <c r="F1938" s="74" t="s">
        <v>1268</v>
      </c>
      <c r="G1938" s="74" t="s">
        <v>1268</v>
      </c>
    </row>
    <row r="1939" spans="1:7" x14ac:dyDescent="0.2">
      <c r="A1939" s="40">
        <v>8233</v>
      </c>
      <c r="B1939" s="39" t="s">
        <v>2278</v>
      </c>
      <c r="C1939" s="40" t="s">
        <v>2580</v>
      </c>
      <c r="D1939" s="74" t="s">
        <v>1269</v>
      </c>
      <c r="E1939" s="74" t="s">
        <v>1266</v>
      </c>
      <c r="F1939" s="74" t="s">
        <v>1268</v>
      </c>
      <c r="G1939" s="74" t="s">
        <v>1267</v>
      </c>
    </row>
    <row r="1940" spans="1:7" x14ac:dyDescent="0.2">
      <c r="A1940" s="40">
        <v>8234</v>
      </c>
      <c r="B1940" s="39" t="s">
        <v>2279</v>
      </c>
      <c r="C1940" s="40" t="s">
        <v>2580</v>
      </c>
      <c r="D1940" s="74" t="s">
        <v>1269</v>
      </c>
      <c r="E1940" s="74" t="s">
        <v>1266</v>
      </c>
      <c r="F1940" s="74" t="s">
        <v>1268</v>
      </c>
      <c r="G1940" s="74" t="s">
        <v>1267</v>
      </c>
    </row>
    <row r="1941" spans="1:7" x14ac:dyDescent="0.2">
      <c r="A1941" s="40">
        <v>8240</v>
      </c>
      <c r="B1941" s="39" t="s">
        <v>2280</v>
      </c>
      <c r="C1941" s="40" t="s">
        <v>2580</v>
      </c>
      <c r="D1941" s="74" t="s">
        <v>1269</v>
      </c>
      <c r="E1941" s="74" t="s">
        <v>1266</v>
      </c>
      <c r="F1941" s="74" t="s">
        <v>1268</v>
      </c>
      <c r="G1941" s="74" t="s">
        <v>1268</v>
      </c>
    </row>
    <row r="1942" spans="1:7" x14ac:dyDescent="0.2">
      <c r="A1942" s="40">
        <v>8241</v>
      </c>
      <c r="B1942" s="39" t="s">
        <v>2281</v>
      </c>
      <c r="C1942" s="40" t="s">
        <v>2580</v>
      </c>
      <c r="D1942" s="74" t="s">
        <v>1269</v>
      </c>
      <c r="E1942" s="74" t="s">
        <v>1266</v>
      </c>
      <c r="F1942" s="74" t="s">
        <v>1268</v>
      </c>
      <c r="G1942" s="74" t="s">
        <v>1268</v>
      </c>
    </row>
    <row r="1943" spans="1:7" x14ac:dyDescent="0.2">
      <c r="A1943" s="40">
        <v>8242</v>
      </c>
      <c r="B1943" s="39" t="s">
        <v>2282</v>
      </c>
      <c r="C1943" s="40" t="s">
        <v>2580</v>
      </c>
      <c r="D1943" s="74" t="s">
        <v>1269</v>
      </c>
      <c r="E1943" s="74" t="s">
        <v>1266</v>
      </c>
      <c r="F1943" s="74" t="s">
        <v>1268</v>
      </c>
      <c r="G1943" s="74" t="s">
        <v>1267</v>
      </c>
    </row>
    <row r="1944" spans="1:7" x14ac:dyDescent="0.2">
      <c r="A1944" s="40">
        <v>8243</v>
      </c>
      <c r="B1944" s="39" t="s">
        <v>2283</v>
      </c>
      <c r="C1944" s="40" t="s">
        <v>2580</v>
      </c>
      <c r="D1944" s="74" t="s">
        <v>1269</v>
      </c>
      <c r="E1944" s="74" t="s">
        <v>1266</v>
      </c>
      <c r="F1944" s="74" t="s">
        <v>1268</v>
      </c>
      <c r="G1944" s="74" t="s">
        <v>1268</v>
      </c>
    </row>
    <row r="1945" spans="1:7" x14ac:dyDescent="0.2">
      <c r="A1945" s="40">
        <v>8244</v>
      </c>
      <c r="B1945" s="39" t="s">
        <v>2284</v>
      </c>
      <c r="C1945" s="40" t="s">
        <v>2580</v>
      </c>
      <c r="D1945" s="74" t="s">
        <v>1269</v>
      </c>
      <c r="E1945" s="74" t="s">
        <v>1266</v>
      </c>
      <c r="F1945" s="74" t="s">
        <v>1268</v>
      </c>
      <c r="G1945" s="74" t="s">
        <v>1267</v>
      </c>
    </row>
    <row r="1946" spans="1:7" x14ac:dyDescent="0.2">
      <c r="A1946" s="40">
        <v>8250</v>
      </c>
      <c r="B1946" s="39" t="s">
        <v>2285</v>
      </c>
      <c r="C1946" s="40" t="s">
        <v>2580</v>
      </c>
      <c r="D1946" s="74" t="s">
        <v>1269</v>
      </c>
      <c r="E1946" s="74" t="s">
        <v>1266</v>
      </c>
      <c r="F1946" s="74" t="s">
        <v>1268</v>
      </c>
      <c r="G1946" s="74" t="s">
        <v>1268</v>
      </c>
    </row>
    <row r="1947" spans="1:7" x14ac:dyDescent="0.2">
      <c r="A1947" s="40">
        <v>8251</v>
      </c>
      <c r="B1947" s="39" t="s">
        <v>2286</v>
      </c>
      <c r="C1947" s="40" t="s">
        <v>2580</v>
      </c>
      <c r="D1947" s="74" t="s">
        <v>1269</v>
      </c>
      <c r="E1947" s="74" t="s">
        <v>1266</v>
      </c>
      <c r="F1947" s="74" t="s">
        <v>1268</v>
      </c>
      <c r="G1947" s="74" t="s">
        <v>1267</v>
      </c>
    </row>
    <row r="1948" spans="1:7" x14ac:dyDescent="0.2">
      <c r="A1948" s="40">
        <v>8252</v>
      </c>
      <c r="B1948" s="39" t="s">
        <v>2287</v>
      </c>
      <c r="C1948" s="40" t="s">
        <v>2580</v>
      </c>
      <c r="D1948" s="74" t="s">
        <v>1269</v>
      </c>
      <c r="E1948" s="74" t="s">
        <v>1266</v>
      </c>
      <c r="F1948" s="74" t="s">
        <v>1268</v>
      </c>
      <c r="G1948" s="74" t="s">
        <v>1267</v>
      </c>
    </row>
    <row r="1949" spans="1:7" x14ac:dyDescent="0.2">
      <c r="A1949" s="40">
        <v>8253</v>
      </c>
      <c r="B1949" s="39" t="s">
        <v>2288</v>
      </c>
      <c r="C1949" s="40" t="s">
        <v>2580</v>
      </c>
      <c r="D1949" s="74" t="s">
        <v>1269</v>
      </c>
      <c r="E1949" s="74" t="s">
        <v>1266</v>
      </c>
      <c r="F1949" s="74" t="s">
        <v>1268</v>
      </c>
      <c r="G1949" s="74" t="s">
        <v>1268</v>
      </c>
    </row>
    <row r="1950" spans="1:7" x14ac:dyDescent="0.2">
      <c r="A1950" s="40">
        <v>8254</v>
      </c>
      <c r="B1950" s="39" t="s">
        <v>2289</v>
      </c>
      <c r="C1950" s="40" t="s">
        <v>2580</v>
      </c>
      <c r="D1950" s="74" t="s">
        <v>1269</v>
      </c>
      <c r="E1950" s="74" t="s">
        <v>1266</v>
      </c>
      <c r="F1950" s="74" t="s">
        <v>1268</v>
      </c>
      <c r="G1950" s="74" t="s">
        <v>1268</v>
      </c>
    </row>
    <row r="1951" spans="1:7" x14ac:dyDescent="0.2">
      <c r="A1951" s="40">
        <v>8255</v>
      </c>
      <c r="B1951" s="39" t="s">
        <v>739</v>
      </c>
      <c r="C1951" s="40" t="s">
        <v>2580</v>
      </c>
      <c r="D1951" s="74" t="s">
        <v>1269</v>
      </c>
      <c r="E1951" s="74" t="s">
        <v>1266</v>
      </c>
      <c r="F1951" s="74" t="s">
        <v>1268</v>
      </c>
      <c r="G1951" s="74" t="s">
        <v>1267</v>
      </c>
    </row>
    <row r="1952" spans="1:7" x14ac:dyDescent="0.2">
      <c r="A1952" s="40">
        <v>8261</v>
      </c>
      <c r="B1952" s="39" t="s">
        <v>740</v>
      </c>
      <c r="C1952" s="40" t="s">
        <v>2580</v>
      </c>
      <c r="D1952" s="74" t="s">
        <v>1269</v>
      </c>
      <c r="E1952" s="74" t="s">
        <v>1266</v>
      </c>
      <c r="F1952" s="74" t="s">
        <v>1268</v>
      </c>
      <c r="G1952" s="74" t="s">
        <v>1268</v>
      </c>
    </row>
    <row r="1953" spans="1:7" x14ac:dyDescent="0.2">
      <c r="A1953" s="40">
        <v>8262</v>
      </c>
      <c r="B1953" s="39" t="s">
        <v>741</v>
      </c>
      <c r="C1953" s="40" t="s">
        <v>2580</v>
      </c>
      <c r="D1953" s="74" t="s">
        <v>1269</v>
      </c>
      <c r="E1953" s="74" t="s">
        <v>1266</v>
      </c>
      <c r="F1953" s="74" t="s">
        <v>1268</v>
      </c>
      <c r="G1953" s="74" t="s">
        <v>1268</v>
      </c>
    </row>
    <row r="1954" spans="1:7" x14ac:dyDescent="0.2">
      <c r="A1954" s="40">
        <v>8263</v>
      </c>
      <c r="B1954" s="39" t="s">
        <v>742</v>
      </c>
      <c r="C1954" s="40" t="s">
        <v>2580</v>
      </c>
      <c r="D1954" s="74" t="s">
        <v>1269</v>
      </c>
      <c r="E1954" s="74" t="s">
        <v>1266</v>
      </c>
      <c r="F1954" s="74" t="s">
        <v>1268</v>
      </c>
      <c r="G1954" s="74" t="s">
        <v>1268</v>
      </c>
    </row>
    <row r="1955" spans="1:7" x14ac:dyDescent="0.2">
      <c r="A1955" s="40">
        <v>8264</v>
      </c>
      <c r="B1955" s="39" t="s">
        <v>743</v>
      </c>
      <c r="C1955" s="40" t="s">
        <v>2580</v>
      </c>
      <c r="D1955" s="74" t="s">
        <v>1269</v>
      </c>
      <c r="E1955" s="74" t="s">
        <v>1266</v>
      </c>
      <c r="F1955" s="74" t="s">
        <v>1268</v>
      </c>
      <c r="G1955" s="74" t="s">
        <v>1267</v>
      </c>
    </row>
    <row r="1956" spans="1:7" x14ac:dyDescent="0.2">
      <c r="A1956" s="40">
        <v>8265</v>
      </c>
      <c r="B1956" s="39" t="s">
        <v>744</v>
      </c>
      <c r="C1956" s="40" t="s">
        <v>2580</v>
      </c>
      <c r="D1956" s="74" t="s">
        <v>1269</v>
      </c>
      <c r="E1956" s="74" t="s">
        <v>1266</v>
      </c>
      <c r="F1956" s="74" t="s">
        <v>1268</v>
      </c>
      <c r="G1956" s="74" t="s">
        <v>1267</v>
      </c>
    </row>
    <row r="1957" spans="1:7" x14ac:dyDescent="0.2">
      <c r="A1957" s="40">
        <v>8271</v>
      </c>
      <c r="B1957" s="39" t="s">
        <v>745</v>
      </c>
      <c r="C1957" s="40" t="s">
        <v>2580</v>
      </c>
      <c r="D1957" s="74" t="s">
        <v>1269</v>
      </c>
      <c r="E1957" s="74" t="s">
        <v>1266</v>
      </c>
      <c r="F1957" s="74" t="s">
        <v>1268</v>
      </c>
      <c r="G1957" s="74" t="s">
        <v>1268</v>
      </c>
    </row>
    <row r="1958" spans="1:7" x14ac:dyDescent="0.2">
      <c r="A1958" s="40">
        <v>8272</v>
      </c>
      <c r="B1958" s="39" t="s">
        <v>746</v>
      </c>
      <c r="C1958" s="40" t="s">
        <v>2580</v>
      </c>
      <c r="D1958" s="74" t="s">
        <v>1269</v>
      </c>
      <c r="E1958" s="74" t="s">
        <v>1266</v>
      </c>
      <c r="F1958" s="74" t="s">
        <v>1268</v>
      </c>
      <c r="G1958" s="74" t="s">
        <v>1267</v>
      </c>
    </row>
    <row r="1959" spans="1:7" x14ac:dyDescent="0.2">
      <c r="A1959" s="40">
        <v>8273</v>
      </c>
      <c r="B1959" s="39" t="s">
        <v>747</v>
      </c>
      <c r="C1959" s="40" t="s">
        <v>2580</v>
      </c>
      <c r="D1959" s="74" t="s">
        <v>1269</v>
      </c>
      <c r="E1959" s="74" t="s">
        <v>1266</v>
      </c>
      <c r="F1959" s="74" t="s">
        <v>1268</v>
      </c>
      <c r="G1959" s="74" t="s">
        <v>1267</v>
      </c>
    </row>
    <row r="1960" spans="1:7" x14ac:dyDescent="0.2">
      <c r="A1960" s="40">
        <v>8274</v>
      </c>
      <c r="B1960" s="39" t="s">
        <v>748</v>
      </c>
      <c r="C1960" s="40" t="s">
        <v>2580</v>
      </c>
      <c r="D1960" s="74" t="s">
        <v>1269</v>
      </c>
      <c r="E1960" s="74" t="s">
        <v>1266</v>
      </c>
      <c r="F1960" s="74" t="s">
        <v>1268</v>
      </c>
      <c r="G1960" s="74" t="s">
        <v>1267</v>
      </c>
    </row>
    <row r="1961" spans="1:7" x14ac:dyDescent="0.2">
      <c r="A1961" s="40">
        <v>8280</v>
      </c>
      <c r="B1961" s="39" t="s">
        <v>749</v>
      </c>
      <c r="C1961" s="40" t="s">
        <v>2580</v>
      </c>
      <c r="D1961" s="74" t="s">
        <v>1269</v>
      </c>
      <c r="E1961" s="74" t="s">
        <v>1266</v>
      </c>
      <c r="F1961" s="74" t="s">
        <v>1268</v>
      </c>
      <c r="G1961" s="74" t="s">
        <v>1268</v>
      </c>
    </row>
    <row r="1962" spans="1:7" x14ac:dyDescent="0.2">
      <c r="A1962" s="40">
        <v>8282</v>
      </c>
      <c r="B1962" s="39" t="s">
        <v>750</v>
      </c>
      <c r="C1962" s="40" t="s">
        <v>2580</v>
      </c>
      <c r="D1962" s="74" t="s">
        <v>1269</v>
      </c>
      <c r="E1962" s="74" t="s">
        <v>1266</v>
      </c>
      <c r="F1962" s="74" t="s">
        <v>1268</v>
      </c>
      <c r="G1962" s="74" t="s">
        <v>1268</v>
      </c>
    </row>
    <row r="1963" spans="1:7" x14ac:dyDescent="0.2">
      <c r="A1963" s="40">
        <v>8283</v>
      </c>
      <c r="B1963" s="39" t="s">
        <v>751</v>
      </c>
      <c r="C1963" s="40" t="s">
        <v>2580</v>
      </c>
      <c r="D1963" s="74" t="s">
        <v>1269</v>
      </c>
      <c r="E1963" s="74" t="s">
        <v>1266</v>
      </c>
      <c r="F1963" s="74" t="s">
        <v>1268</v>
      </c>
      <c r="G1963" s="74" t="s">
        <v>1268</v>
      </c>
    </row>
    <row r="1964" spans="1:7" x14ac:dyDescent="0.2">
      <c r="A1964" s="40">
        <v>8291</v>
      </c>
      <c r="B1964" s="39" t="s">
        <v>752</v>
      </c>
      <c r="C1964" s="40" t="s">
        <v>2580</v>
      </c>
      <c r="D1964" s="74" t="s">
        <v>1269</v>
      </c>
      <c r="E1964" s="74" t="s">
        <v>1266</v>
      </c>
      <c r="F1964" s="74" t="s">
        <v>1268</v>
      </c>
      <c r="G1964" s="74" t="s">
        <v>1267</v>
      </c>
    </row>
    <row r="1965" spans="1:7" x14ac:dyDescent="0.2">
      <c r="A1965" s="40">
        <v>8292</v>
      </c>
      <c r="B1965" s="39" t="s">
        <v>753</v>
      </c>
      <c r="C1965" s="40" t="s">
        <v>2580</v>
      </c>
      <c r="D1965" s="74" t="s">
        <v>1269</v>
      </c>
      <c r="E1965" s="74" t="s">
        <v>1266</v>
      </c>
      <c r="F1965" s="74" t="s">
        <v>1268</v>
      </c>
      <c r="G1965" s="74" t="s">
        <v>1268</v>
      </c>
    </row>
    <row r="1966" spans="1:7" x14ac:dyDescent="0.2">
      <c r="A1966" s="40">
        <v>8293</v>
      </c>
      <c r="B1966" s="39" t="s">
        <v>754</v>
      </c>
      <c r="C1966" s="40" t="s">
        <v>2580</v>
      </c>
      <c r="D1966" s="74" t="s">
        <v>1269</v>
      </c>
      <c r="E1966" s="74" t="s">
        <v>1266</v>
      </c>
      <c r="F1966" s="74" t="s">
        <v>1268</v>
      </c>
      <c r="G1966" s="74" t="s">
        <v>1267</v>
      </c>
    </row>
    <row r="1967" spans="1:7" x14ac:dyDescent="0.2">
      <c r="A1967" s="40">
        <v>8294</v>
      </c>
      <c r="B1967" s="39" t="s">
        <v>755</v>
      </c>
      <c r="C1967" s="40" t="s">
        <v>2580</v>
      </c>
      <c r="D1967" s="74" t="s">
        <v>1269</v>
      </c>
      <c r="E1967" s="74" t="s">
        <v>1266</v>
      </c>
      <c r="F1967" s="74" t="s">
        <v>1268</v>
      </c>
      <c r="G1967" s="74" t="s">
        <v>1267</v>
      </c>
    </row>
    <row r="1968" spans="1:7" x14ac:dyDescent="0.2">
      <c r="A1968" s="40">
        <v>8295</v>
      </c>
      <c r="B1968" s="39" t="s">
        <v>756</v>
      </c>
      <c r="C1968" s="40" t="s">
        <v>2580</v>
      </c>
      <c r="D1968" s="74" t="s">
        <v>1269</v>
      </c>
      <c r="E1968" s="74" t="s">
        <v>1266</v>
      </c>
      <c r="F1968" s="74" t="s">
        <v>1268</v>
      </c>
      <c r="G1968" s="74" t="s">
        <v>1268</v>
      </c>
    </row>
    <row r="1969" spans="1:7" x14ac:dyDescent="0.2">
      <c r="A1969" s="40">
        <v>8301</v>
      </c>
      <c r="B1969" s="39" t="s">
        <v>757</v>
      </c>
      <c r="C1969" s="40" t="s">
        <v>2580</v>
      </c>
      <c r="D1969" s="74" t="s">
        <v>1269</v>
      </c>
      <c r="E1969" s="74" t="s">
        <v>1266</v>
      </c>
      <c r="F1969" s="74" t="s">
        <v>1268</v>
      </c>
      <c r="G1969" s="74" t="s">
        <v>1268</v>
      </c>
    </row>
    <row r="1970" spans="1:7" x14ac:dyDescent="0.2">
      <c r="A1970" s="40">
        <v>8302</v>
      </c>
      <c r="B1970" s="39" t="s">
        <v>758</v>
      </c>
      <c r="C1970" s="40" t="s">
        <v>2580</v>
      </c>
      <c r="D1970" s="74" t="s">
        <v>1269</v>
      </c>
      <c r="E1970" s="74" t="s">
        <v>1266</v>
      </c>
      <c r="F1970" s="74" t="s">
        <v>1268</v>
      </c>
      <c r="G1970" s="74" t="s">
        <v>1267</v>
      </c>
    </row>
    <row r="1971" spans="1:7" x14ac:dyDescent="0.2">
      <c r="A1971" s="40">
        <v>8311</v>
      </c>
      <c r="B1971" s="39" t="s">
        <v>759</v>
      </c>
      <c r="C1971" s="40" t="s">
        <v>2580</v>
      </c>
      <c r="D1971" s="74" t="s">
        <v>1269</v>
      </c>
      <c r="E1971" s="74" t="s">
        <v>1266</v>
      </c>
      <c r="F1971" s="74" t="s">
        <v>1268</v>
      </c>
      <c r="G1971" s="74" t="s">
        <v>1268</v>
      </c>
    </row>
    <row r="1972" spans="1:7" x14ac:dyDescent="0.2">
      <c r="A1972" s="40">
        <v>8312</v>
      </c>
      <c r="B1972" s="39" t="s">
        <v>760</v>
      </c>
      <c r="C1972" s="40" t="s">
        <v>2580</v>
      </c>
      <c r="D1972" s="74" t="s">
        <v>1269</v>
      </c>
      <c r="E1972" s="74" t="s">
        <v>1266</v>
      </c>
      <c r="F1972" s="74" t="s">
        <v>1268</v>
      </c>
      <c r="G1972" s="74" t="s">
        <v>1267</v>
      </c>
    </row>
    <row r="1973" spans="1:7" x14ac:dyDescent="0.2">
      <c r="A1973" s="40">
        <v>8313</v>
      </c>
      <c r="B1973" s="39" t="s">
        <v>761</v>
      </c>
      <c r="C1973" s="40" t="s">
        <v>2580</v>
      </c>
      <c r="D1973" s="74" t="s">
        <v>1269</v>
      </c>
      <c r="E1973" s="74" t="s">
        <v>1266</v>
      </c>
      <c r="F1973" s="74" t="s">
        <v>1268</v>
      </c>
      <c r="G1973" s="74" t="s">
        <v>1268</v>
      </c>
    </row>
    <row r="1974" spans="1:7" x14ac:dyDescent="0.2">
      <c r="A1974" s="40">
        <v>8321</v>
      </c>
      <c r="B1974" s="39" t="s">
        <v>762</v>
      </c>
      <c r="C1974" s="40" t="s">
        <v>2580</v>
      </c>
      <c r="D1974" s="74" t="s">
        <v>1269</v>
      </c>
      <c r="E1974" s="74" t="s">
        <v>1266</v>
      </c>
      <c r="F1974" s="74" t="s">
        <v>1268</v>
      </c>
      <c r="G1974" s="74" t="s">
        <v>1268</v>
      </c>
    </row>
    <row r="1975" spans="1:7" x14ac:dyDescent="0.2">
      <c r="A1975" s="40">
        <v>8322</v>
      </c>
      <c r="B1975" s="39" t="s">
        <v>763</v>
      </c>
      <c r="C1975" s="40" t="s">
        <v>2580</v>
      </c>
      <c r="D1975" s="74" t="s">
        <v>1269</v>
      </c>
      <c r="E1975" s="74" t="s">
        <v>1266</v>
      </c>
      <c r="F1975" s="74" t="s">
        <v>1268</v>
      </c>
      <c r="G1975" s="74" t="s">
        <v>1268</v>
      </c>
    </row>
    <row r="1976" spans="1:7" x14ac:dyDescent="0.2">
      <c r="A1976" s="40">
        <v>8323</v>
      </c>
      <c r="B1976" s="39" t="s">
        <v>764</v>
      </c>
      <c r="C1976" s="40" t="s">
        <v>2580</v>
      </c>
      <c r="D1976" s="74" t="s">
        <v>1269</v>
      </c>
      <c r="E1976" s="74" t="s">
        <v>1266</v>
      </c>
      <c r="F1976" s="74" t="s">
        <v>1268</v>
      </c>
      <c r="G1976" s="74" t="s">
        <v>1268</v>
      </c>
    </row>
    <row r="1977" spans="1:7" x14ac:dyDescent="0.2">
      <c r="A1977" s="40">
        <v>8324</v>
      </c>
      <c r="B1977" s="39" t="s">
        <v>765</v>
      </c>
      <c r="C1977" s="40" t="s">
        <v>2580</v>
      </c>
      <c r="D1977" s="74" t="s">
        <v>1269</v>
      </c>
      <c r="E1977" s="74" t="s">
        <v>1266</v>
      </c>
      <c r="F1977" s="74" t="s">
        <v>1268</v>
      </c>
      <c r="G1977" s="74" t="s">
        <v>1267</v>
      </c>
    </row>
    <row r="1978" spans="1:7" x14ac:dyDescent="0.2">
      <c r="A1978" s="40">
        <v>8330</v>
      </c>
      <c r="B1978" s="39" t="s">
        <v>766</v>
      </c>
      <c r="C1978" s="40" t="s">
        <v>2580</v>
      </c>
      <c r="D1978" s="74" t="s">
        <v>1269</v>
      </c>
      <c r="E1978" s="74" t="s">
        <v>1266</v>
      </c>
      <c r="F1978" s="74" t="s">
        <v>1268</v>
      </c>
      <c r="G1978" s="74" t="s">
        <v>1268</v>
      </c>
    </row>
    <row r="1979" spans="1:7" x14ac:dyDescent="0.2">
      <c r="A1979" s="40">
        <v>8332</v>
      </c>
      <c r="B1979" s="39" t="s">
        <v>767</v>
      </c>
      <c r="C1979" s="40" t="s">
        <v>2580</v>
      </c>
      <c r="D1979" s="74" t="s">
        <v>1269</v>
      </c>
      <c r="E1979" s="74" t="s">
        <v>1266</v>
      </c>
      <c r="F1979" s="74" t="s">
        <v>1268</v>
      </c>
      <c r="G1979" s="74" t="s">
        <v>1267</v>
      </c>
    </row>
    <row r="1980" spans="1:7" x14ac:dyDescent="0.2">
      <c r="A1980" s="40">
        <v>8333</v>
      </c>
      <c r="B1980" s="39" t="s">
        <v>1314</v>
      </c>
      <c r="C1980" s="40" t="s">
        <v>2580</v>
      </c>
      <c r="D1980" s="74" t="s">
        <v>1269</v>
      </c>
      <c r="E1980" s="74" t="s">
        <v>1266</v>
      </c>
      <c r="F1980" s="74" t="s">
        <v>1268</v>
      </c>
      <c r="G1980" s="74" t="s">
        <v>1267</v>
      </c>
    </row>
    <row r="1981" spans="1:7" x14ac:dyDescent="0.2">
      <c r="A1981" s="40">
        <v>8334</v>
      </c>
      <c r="B1981" s="39" t="s">
        <v>768</v>
      </c>
      <c r="C1981" s="40" t="s">
        <v>2580</v>
      </c>
      <c r="D1981" s="74" t="s">
        <v>1269</v>
      </c>
      <c r="E1981" s="74" t="s">
        <v>1266</v>
      </c>
      <c r="F1981" s="74" t="s">
        <v>1268</v>
      </c>
      <c r="G1981" s="74" t="s">
        <v>1267</v>
      </c>
    </row>
    <row r="1982" spans="1:7" x14ac:dyDescent="0.2">
      <c r="A1982" s="40">
        <v>8341</v>
      </c>
      <c r="B1982" s="39" t="s">
        <v>769</v>
      </c>
      <c r="C1982" s="40" t="s">
        <v>2580</v>
      </c>
      <c r="D1982" s="74" t="s">
        <v>1269</v>
      </c>
      <c r="E1982" s="74" t="s">
        <v>1266</v>
      </c>
      <c r="F1982" s="74" t="s">
        <v>1268</v>
      </c>
      <c r="G1982" s="74" t="s">
        <v>1268</v>
      </c>
    </row>
    <row r="1983" spans="1:7" x14ac:dyDescent="0.2">
      <c r="A1983" s="40">
        <v>8342</v>
      </c>
      <c r="B1983" s="39" t="s">
        <v>770</v>
      </c>
      <c r="C1983" s="40" t="s">
        <v>2580</v>
      </c>
      <c r="D1983" s="74" t="s">
        <v>1269</v>
      </c>
      <c r="E1983" s="74" t="s">
        <v>1266</v>
      </c>
      <c r="F1983" s="74" t="s">
        <v>1268</v>
      </c>
      <c r="G1983" s="74" t="s">
        <v>1268</v>
      </c>
    </row>
    <row r="1984" spans="1:7" x14ac:dyDescent="0.2">
      <c r="A1984" s="40">
        <v>8343</v>
      </c>
      <c r="B1984" s="39" t="s">
        <v>771</v>
      </c>
      <c r="C1984" s="40" t="s">
        <v>2580</v>
      </c>
      <c r="D1984" s="74" t="s">
        <v>1269</v>
      </c>
      <c r="E1984" s="74" t="s">
        <v>1266</v>
      </c>
      <c r="F1984" s="74" t="s">
        <v>1268</v>
      </c>
      <c r="G1984" s="74" t="s">
        <v>1267</v>
      </c>
    </row>
    <row r="1985" spans="1:7" x14ac:dyDescent="0.2">
      <c r="A1985" s="40">
        <v>8344</v>
      </c>
      <c r="B1985" s="39" t="s">
        <v>127</v>
      </c>
      <c r="C1985" s="40" t="s">
        <v>2580</v>
      </c>
      <c r="D1985" s="74" t="s">
        <v>1269</v>
      </c>
      <c r="E1985" s="74" t="s">
        <v>1266</v>
      </c>
      <c r="F1985" s="74" t="s">
        <v>1268</v>
      </c>
      <c r="G1985" s="74" t="s">
        <v>1268</v>
      </c>
    </row>
    <row r="1986" spans="1:7" x14ac:dyDescent="0.2">
      <c r="A1986" s="40">
        <v>8345</v>
      </c>
      <c r="B1986" s="39" t="s">
        <v>772</v>
      </c>
      <c r="C1986" s="40" t="s">
        <v>2580</v>
      </c>
      <c r="D1986" s="74" t="s">
        <v>1269</v>
      </c>
      <c r="E1986" s="74" t="s">
        <v>1266</v>
      </c>
      <c r="F1986" s="74" t="s">
        <v>1268</v>
      </c>
      <c r="G1986" s="74" t="s">
        <v>1268</v>
      </c>
    </row>
    <row r="1987" spans="1:7" x14ac:dyDescent="0.2">
      <c r="A1987" s="40">
        <v>8350</v>
      </c>
      <c r="B1987" s="39" t="s">
        <v>773</v>
      </c>
      <c r="C1987" s="40" t="s">
        <v>2580</v>
      </c>
      <c r="D1987" s="74" t="s">
        <v>1269</v>
      </c>
      <c r="E1987" s="74" t="s">
        <v>1266</v>
      </c>
      <c r="F1987" s="74" t="s">
        <v>1268</v>
      </c>
      <c r="G1987" s="74" t="s">
        <v>1268</v>
      </c>
    </row>
    <row r="1988" spans="1:7" x14ac:dyDescent="0.2">
      <c r="A1988" s="40">
        <v>8352</v>
      </c>
      <c r="B1988" s="39" t="s">
        <v>774</v>
      </c>
      <c r="C1988" s="40" t="s">
        <v>2580</v>
      </c>
      <c r="D1988" s="74" t="s">
        <v>1269</v>
      </c>
      <c r="E1988" s="74" t="s">
        <v>1266</v>
      </c>
      <c r="F1988" s="74" t="s">
        <v>1268</v>
      </c>
      <c r="G1988" s="74" t="s">
        <v>1267</v>
      </c>
    </row>
    <row r="1989" spans="1:7" x14ac:dyDescent="0.2">
      <c r="A1989" s="40">
        <v>8353</v>
      </c>
      <c r="B1989" s="39" t="s">
        <v>775</v>
      </c>
      <c r="C1989" s="40" t="s">
        <v>2580</v>
      </c>
      <c r="D1989" s="74" t="s">
        <v>1269</v>
      </c>
      <c r="E1989" s="74" t="s">
        <v>1266</v>
      </c>
      <c r="F1989" s="74" t="s">
        <v>1268</v>
      </c>
      <c r="G1989" s="74" t="s">
        <v>1267</v>
      </c>
    </row>
    <row r="1990" spans="1:7" x14ac:dyDescent="0.2">
      <c r="A1990" s="40">
        <v>8354</v>
      </c>
      <c r="B1990" s="39" t="s">
        <v>776</v>
      </c>
      <c r="C1990" s="40" t="s">
        <v>2580</v>
      </c>
      <c r="D1990" s="74" t="s">
        <v>1269</v>
      </c>
      <c r="E1990" s="74" t="s">
        <v>1266</v>
      </c>
      <c r="F1990" s="74" t="s">
        <v>1268</v>
      </c>
      <c r="G1990" s="74" t="s">
        <v>1268</v>
      </c>
    </row>
    <row r="1991" spans="1:7" x14ac:dyDescent="0.2">
      <c r="A1991" s="40">
        <v>8355</v>
      </c>
      <c r="B1991" s="39" t="s">
        <v>777</v>
      </c>
      <c r="C1991" s="40" t="s">
        <v>2580</v>
      </c>
      <c r="D1991" s="74" t="s">
        <v>1269</v>
      </c>
      <c r="E1991" s="74" t="s">
        <v>1266</v>
      </c>
      <c r="F1991" s="74" t="s">
        <v>1268</v>
      </c>
      <c r="G1991" s="74" t="s">
        <v>1267</v>
      </c>
    </row>
    <row r="1992" spans="1:7" x14ac:dyDescent="0.2">
      <c r="A1992" s="40">
        <v>8361</v>
      </c>
      <c r="B1992" s="39" t="s">
        <v>778</v>
      </c>
      <c r="C1992" s="40" t="s">
        <v>2580</v>
      </c>
      <c r="D1992" s="74" t="s">
        <v>1269</v>
      </c>
      <c r="E1992" s="74" t="s">
        <v>1266</v>
      </c>
      <c r="F1992" s="74" t="s">
        <v>1268</v>
      </c>
      <c r="G1992" s="74" t="s">
        <v>1267</v>
      </c>
    </row>
    <row r="1993" spans="1:7" x14ac:dyDescent="0.2">
      <c r="A1993" s="40">
        <v>8362</v>
      </c>
      <c r="B1993" s="39" t="s">
        <v>779</v>
      </c>
      <c r="C1993" s="40" t="s">
        <v>2580</v>
      </c>
      <c r="D1993" s="74" t="s">
        <v>1269</v>
      </c>
      <c r="E1993" s="74" t="s">
        <v>1266</v>
      </c>
      <c r="F1993" s="74" t="s">
        <v>1268</v>
      </c>
      <c r="G1993" s="74" t="s">
        <v>1267</v>
      </c>
    </row>
    <row r="1994" spans="1:7" x14ac:dyDescent="0.2">
      <c r="A1994" s="40">
        <v>8380</v>
      </c>
      <c r="B1994" s="39" t="s">
        <v>791</v>
      </c>
      <c r="C1994" s="40" t="s">
        <v>1805</v>
      </c>
      <c r="D1994" s="74" t="s">
        <v>1269</v>
      </c>
      <c r="E1994" s="74" t="s">
        <v>1266</v>
      </c>
      <c r="F1994" s="74" t="s">
        <v>1268</v>
      </c>
      <c r="G1994" s="74" t="s">
        <v>1268</v>
      </c>
    </row>
    <row r="1995" spans="1:7" x14ac:dyDescent="0.2">
      <c r="A1995" s="40">
        <v>8382</v>
      </c>
      <c r="B1995" s="39" t="s">
        <v>792</v>
      </c>
      <c r="C1995" s="40" t="s">
        <v>1805</v>
      </c>
      <c r="D1995" s="74" t="s">
        <v>1269</v>
      </c>
      <c r="E1995" s="74" t="s">
        <v>1266</v>
      </c>
      <c r="F1995" s="74" t="s">
        <v>1268</v>
      </c>
      <c r="G1995" s="74" t="s">
        <v>1267</v>
      </c>
    </row>
    <row r="1996" spans="1:7" x14ac:dyDescent="0.2">
      <c r="A1996" s="40">
        <v>8383</v>
      </c>
      <c r="B1996" s="39" t="s">
        <v>793</v>
      </c>
      <c r="C1996" s="40" t="s">
        <v>1805</v>
      </c>
      <c r="D1996" s="74" t="s">
        <v>1269</v>
      </c>
      <c r="E1996" s="74" t="s">
        <v>1266</v>
      </c>
      <c r="F1996" s="74" t="s">
        <v>1268</v>
      </c>
      <c r="G1996" s="74" t="s">
        <v>1267</v>
      </c>
    </row>
    <row r="1997" spans="1:7" x14ac:dyDescent="0.2">
      <c r="A1997" s="40">
        <v>8384</v>
      </c>
      <c r="B1997" s="39" t="s">
        <v>794</v>
      </c>
      <c r="C1997" s="40" t="s">
        <v>1805</v>
      </c>
      <c r="D1997" s="74" t="s">
        <v>1269</v>
      </c>
      <c r="E1997" s="74" t="s">
        <v>1266</v>
      </c>
      <c r="F1997" s="74" t="s">
        <v>1268</v>
      </c>
      <c r="G1997" s="74" t="s">
        <v>1268</v>
      </c>
    </row>
    <row r="1998" spans="1:7" x14ac:dyDescent="0.2">
      <c r="A1998" s="40">
        <v>8385</v>
      </c>
      <c r="B1998" s="39" t="s">
        <v>795</v>
      </c>
      <c r="C1998" s="40" t="s">
        <v>1805</v>
      </c>
      <c r="D1998" s="74" t="s">
        <v>1269</v>
      </c>
      <c r="E1998" s="74" t="s">
        <v>1266</v>
      </c>
      <c r="F1998" s="74" t="s">
        <v>1268</v>
      </c>
      <c r="G1998" s="74" t="s">
        <v>1267</v>
      </c>
    </row>
    <row r="1999" spans="1:7" x14ac:dyDescent="0.2">
      <c r="A1999" s="40">
        <v>8401</v>
      </c>
      <c r="B1999" s="39" t="s">
        <v>796</v>
      </c>
      <c r="C1999" s="40" t="s">
        <v>2580</v>
      </c>
      <c r="D1999" s="74" t="s">
        <v>1269</v>
      </c>
      <c r="E1999" s="74" t="s">
        <v>1266</v>
      </c>
      <c r="F1999" s="74" t="s">
        <v>1268</v>
      </c>
      <c r="G1999" s="74" t="s">
        <v>1268</v>
      </c>
    </row>
    <row r="2000" spans="1:7" x14ac:dyDescent="0.2">
      <c r="A2000" s="40">
        <v>8402</v>
      </c>
      <c r="B2000" s="39" t="s">
        <v>797</v>
      </c>
      <c r="C2000" s="40" t="s">
        <v>2580</v>
      </c>
      <c r="D2000" s="74" t="s">
        <v>1269</v>
      </c>
      <c r="E2000" s="74" t="s">
        <v>1266</v>
      </c>
      <c r="F2000" s="74" t="s">
        <v>1268</v>
      </c>
      <c r="G2000" s="74" t="s">
        <v>1267</v>
      </c>
    </row>
    <row r="2001" spans="1:7" x14ac:dyDescent="0.2">
      <c r="A2001" s="40">
        <v>8403</v>
      </c>
      <c r="B2001" s="39" t="s">
        <v>798</v>
      </c>
      <c r="C2001" s="40" t="s">
        <v>2580</v>
      </c>
      <c r="D2001" s="74" t="s">
        <v>1269</v>
      </c>
      <c r="E2001" s="74" t="s">
        <v>1266</v>
      </c>
      <c r="F2001" s="74" t="s">
        <v>1268</v>
      </c>
      <c r="G2001" s="74" t="s">
        <v>1268</v>
      </c>
    </row>
    <row r="2002" spans="1:7" x14ac:dyDescent="0.2">
      <c r="A2002" s="40">
        <v>8410</v>
      </c>
      <c r="B2002" s="39" t="s">
        <v>799</v>
      </c>
      <c r="C2002" s="40" t="s">
        <v>2580</v>
      </c>
      <c r="D2002" s="74" t="s">
        <v>1269</v>
      </c>
      <c r="E2002" s="74" t="s">
        <v>1266</v>
      </c>
      <c r="F2002" s="74" t="s">
        <v>1268</v>
      </c>
      <c r="G2002" s="74" t="s">
        <v>1268</v>
      </c>
    </row>
    <row r="2003" spans="1:7" x14ac:dyDescent="0.2">
      <c r="A2003" s="40">
        <v>8411</v>
      </c>
      <c r="B2003" s="39" t="s">
        <v>800</v>
      </c>
      <c r="C2003" s="40" t="s">
        <v>2580</v>
      </c>
      <c r="D2003" s="74" t="s">
        <v>1269</v>
      </c>
      <c r="E2003" s="74" t="s">
        <v>1266</v>
      </c>
      <c r="F2003" s="74" t="s">
        <v>1268</v>
      </c>
      <c r="G2003" s="74" t="s">
        <v>1267</v>
      </c>
    </row>
    <row r="2004" spans="1:7" x14ac:dyDescent="0.2">
      <c r="A2004" s="40">
        <v>8412</v>
      </c>
      <c r="B2004" s="39" t="s">
        <v>801</v>
      </c>
      <c r="C2004" s="40" t="s">
        <v>2580</v>
      </c>
      <c r="D2004" s="74" t="s">
        <v>1269</v>
      </c>
      <c r="E2004" s="74" t="s">
        <v>1266</v>
      </c>
      <c r="F2004" s="74" t="s">
        <v>1268</v>
      </c>
      <c r="G2004" s="74" t="s">
        <v>1267</v>
      </c>
    </row>
    <row r="2005" spans="1:7" x14ac:dyDescent="0.2">
      <c r="A2005" s="40">
        <v>8413</v>
      </c>
      <c r="B2005" s="39" t="s">
        <v>802</v>
      </c>
      <c r="C2005" s="40" t="s">
        <v>2580</v>
      </c>
      <c r="D2005" s="74" t="s">
        <v>1269</v>
      </c>
      <c r="E2005" s="74" t="s">
        <v>1266</v>
      </c>
      <c r="F2005" s="74" t="s">
        <v>1268</v>
      </c>
      <c r="G2005" s="74" t="s">
        <v>1267</v>
      </c>
    </row>
    <row r="2006" spans="1:7" x14ac:dyDescent="0.2">
      <c r="A2006" s="40">
        <v>8421</v>
      </c>
      <c r="B2006" s="39" t="s">
        <v>803</v>
      </c>
      <c r="C2006" s="40" t="s">
        <v>2580</v>
      </c>
      <c r="D2006" s="74" t="s">
        <v>1269</v>
      </c>
      <c r="E2006" s="74" t="s">
        <v>1266</v>
      </c>
      <c r="F2006" s="74" t="s">
        <v>1268</v>
      </c>
      <c r="G2006" s="74" t="s">
        <v>1268</v>
      </c>
    </row>
    <row r="2007" spans="1:7" x14ac:dyDescent="0.2">
      <c r="A2007" s="40">
        <v>8422</v>
      </c>
      <c r="B2007" s="39" t="s">
        <v>804</v>
      </c>
      <c r="C2007" s="40" t="s">
        <v>2580</v>
      </c>
      <c r="D2007" s="74" t="s">
        <v>1269</v>
      </c>
      <c r="E2007" s="74" t="s">
        <v>1266</v>
      </c>
      <c r="F2007" s="74" t="s">
        <v>1268</v>
      </c>
      <c r="G2007" s="74" t="s">
        <v>1267</v>
      </c>
    </row>
    <row r="2008" spans="1:7" x14ac:dyDescent="0.2">
      <c r="A2008" s="40">
        <v>8423</v>
      </c>
      <c r="B2008" s="39" t="s">
        <v>805</v>
      </c>
      <c r="C2008" s="40" t="s">
        <v>2580</v>
      </c>
      <c r="D2008" s="74" t="s">
        <v>1269</v>
      </c>
      <c r="E2008" s="74" t="s">
        <v>1266</v>
      </c>
      <c r="F2008" s="74" t="s">
        <v>1268</v>
      </c>
      <c r="G2008" s="74" t="s">
        <v>1267</v>
      </c>
    </row>
    <row r="2009" spans="1:7" x14ac:dyDescent="0.2">
      <c r="A2009" s="40">
        <v>8424</v>
      </c>
      <c r="B2009" s="39" t="s">
        <v>806</v>
      </c>
      <c r="C2009" s="40" t="s">
        <v>2580</v>
      </c>
      <c r="D2009" s="74" t="s">
        <v>1269</v>
      </c>
      <c r="E2009" s="74" t="s">
        <v>1266</v>
      </c>
      <c r="F2009" s="74" t="s">
        <v>1268</v>
      </c>
      <c r="G2009" s="74" t="s">
        <v>1267</v>
      </c>
    </row>
    <row r="2010" spans="1:7" x14ac:dyDescent="0.2">
      <c r="A2010" s="40">
        <v>8430</v>
      </c>
      <c r="B2010" s="39" t="s">
        <v>807</v>
      </c>
      <c r="C2010" s="40" t="s">
        <v>2580</v>
      </c>
      <c r="D2010" s="74" t="s">
        <v>1269</v>
      </c>
      <c r="E2010" s="74" t="s">
        <v>1266</v>
      </c>
      <c r="F2010" s="74" t="s">
        <v>1268</v>
      </c>
      <c r="G2010" s="74" t="s">
        <v>1268</v>
      </c>
    </row>
    <row r="2011" spans="1:7" x14ac:dyDescent="0.2">
      <c r="A2011" s="40">
        <v>8435</v>
      </c>
      <c r="B2011" s="39" t="s">
        <v>808</v>
      </c>
      <c r="C2011" s="40" t="s">
        <v>2580</v>
      </c>
      <c r="D2011" s="74" t="s">
        <v>1269</v>
      </c>
      <c r="E2011" s="74" t="s">
        <v>1266</v>
      </c>
      <c r="F2011" s="74" t="s">
        <v>1268</v>
      </c>
      <c r="G2011" s="74" t="s">
        <v>1268</v>
      </c>
    </row>
    <row r="2012" spans="1:7" x14ac:dyDescent="0.2">
      <c r="A2012" s="40">
        <v>8441</v>
      </c>
      <c r="B2012" s="39" t="s">
        <v>809</v>
      </c>
      <c r="C2012" s="40" t="s">
        <v>2580</v>
      </c>
      <c r="D2012" s="74" t="s">
        <v>1269</v>
      </c>
      <c r="E2012" s="74" t="s">
        <v>1266</v>
      </c>
      <c r="F2012" s="74" t="s">
        <v>1268</v>
      </c>
      <c r="G2012" s="74" t="s">
        <v>1268</v>
      </c>
    </row>
    <row r="2013" spans="1:7" x14ac:dyDescent="0.2">
      <c r="A2013" s="40">
        <v>8442</v>
      </c>
      <c r="B2013" s="39" t="s">
        <v>810</v>
      </c>
      <c r="C2013" s="40" t="s">
        <v>2580</v>
      </c>
      <c r="D2013" s="74" t="s">
        <v>1269</v>
      </c>
      <c r="E2013" s="74" t="s">
        <v>1266</v>
      </c>
      <c r="F2013" s="74" t="s">
        <v>1268</v>
      </c>
      <c r="G2013" s="74" t="s">
        <v>1267</v>
      </c>
    </row>
    <row r="2014" spans="1:7" x14ac:dyDescent="0.2">
      <c r="A2014" s="40">
        <v>8443</v>
      </c>
      <c r="B2014" s="39" t="s">
        <v>811</v>
      </c>
      <c r="C2014" s="40" t="s">
        <v>2580</v>
      </c>
      <c r="D2014" s="74" t="s">
        <v>1269</v>
      </c>
      <c r="E2014" s="74" t="s">
        <v>1266</v>
      </c>
      <c r="F2014" s="74" t="s">
        <v>1268</v>
      </c>
      <c r="G2014" s="74" t="s">
        <v>1268</v>
      </c>
    </row>
    <row r="2015" spans="1:7" x14ac:dyDescent="0.2">
      <c r="A2015" s="40">
        <v>8444</v>
      </c>
      <c r="B2015" s="39" t="s">
        <v>812</v>
      </c>
      <c r="C2015" s="40" t="s">
        <v>2580</v>
      </c>
      <c r="D2015" s="74" t="s">
        <v>1269</v>
      </c>
      <c r="E2015" s="74" t="s">
        <v>1266</v>
      </c>
      <c r="F2015" s="74" t="s">
        <v>1268</v>
      </c>
      <c r="G2015" s="74" t="s">
        <v>1267</v>
      </c>
    </row>
    <row r="2016" spans="1:7" x14ac:dyDescent="0.2">
      <c r="A2016" s="40">
        <v>8451</v>
      </c>
      <c r="B2016" s="39" t="s">
        <v>813</v>
      </c>
      <c r="C2016" s="40" t="s">
        <v>2580</v>
      </c>
      <c r="D2016" s="74" t="s">
        <v>1269</v>
      </c>
      <c r="E2016" s="74" t="s">
        <v>1266</v>
      </c>
      <c r="F2016" s="74" t="s">
        <v>1268</v>
      </c>
      <c r="G2016" s="74" t="s">
        <v>1267</v>
      </c>
    </row>
    <row r="2017" spans="1:7" x14ac:dyDescent="0.2">
      <c r="A2017" s="40">
        <v>8452</v>
      </c>
      <c r="B2017" s="39" t="s">
        <v>814</v>
      </c>
      <c r="C2017" s="40" t="s">
        <v>2580</v>
      </c>
      <c r="D2017" s="74" t="s">
        <v>1269</v>
      </c>
      <c r="E2017" s="74" t="s">
        <v>1266</v>
      </c>
      <c r="F2017" s="74" t="s">
        <v>1268</v>
      </c>
      <c r="G2017" s="74" t="s">
        <v>1268</v>
      </c>
    </row>
    <row r="2018" spans="1:7" x14ac:dyDescent="0.2">
      <c r="A2018" s="40">
        <v>8453</v>
      </c>
      <c r="B2018" s="39" t="s">
        <v>815</v>
      </c>
      <c r="C2018" s="40" t="s">
        <v>2580</v>
      </c>
      <c r="D2018" s="74" t="s">
        <v>1269</v>
      </c>
      <c r="E2018" s="74" t="s">
        <v>1266</v>
      </c>
      <c r="F2018" s="74" t="s">
        <v>1268</v>
      </c>
      <c r="G2018" s="74" t="s">
        <v>1267</v>
      </c>
    </row>
    <row r="2019" spans="1:7" x14ac:dyDescent="0.2">
      <c r="A2019" s="40">
        <v>8454</v>
      </c>
      <c r="B2019" s="39" t="s">
        <v>816</v>
      </c>
      <c r="C2019" s="40" t="s">
        <v>2580</v>
      </c>
      <c r="D2019" s="74" t="s">
        <v>1269</v>
      </c>
      <c r="E2019" s="74" t="s">
        <v>1266</v>
      </c>
      <c r="F2019" s="74" t="s">
        <v>1268</v>
      </c>
      <c r="G2019" s="74" t="s">
        <v>1268</v>
      </c>
    </row>
    <row r="2020" spans="1:7" x14ac:dyDescent="0.2">
      <c r="A2020" s="40">
        <v>8455</v>
      </c>
      <c r="B2020" s="39" t="s">
        <v>817</v>
      </c>
      <c r="C2020" s="40" t="s">
        <v>2580</v>
      </c>
      <c r="D2020" s="74" t="s">
        <v>1269</v>
      </c>
      <c r="E2020" s="74" t="s">
        <v>1266</v>
      </c>
      <c r="F2020" s="74" t="s">
        <v>1268</v>
      </c>
      <c r="G2020" s="74" t="s">
        <v>1267</v>
      </c>
    </row>
    <row r="2021" spans="1:7" x14ac:dyDescent="0.2">
      <c r="A2021" s="40">
        <v>8461</v>
      </c>
      <c r="B2021" s="39" t="s">
        <v>818</v>
      </c>
      <c r="C2021" s="40" t="s">
        <v>2580</v>
      </c>
      <c r="D2021" s="74" t="s">
        <v>1269</v>
      </c>
      <c r="E2021" s="74" t="s">
        <v>1266</v>
      </c>
      <c r="F2021" s="74" t="s">
        <v>1268</v>
      </c>
      <c r="G2021" s="74" t="s">
        <v>1268</v>
      </c>
    </row>
    <row r="2022" spans="1:7" x14ac:dyDescent="0.2">
      <c r="A2022" s="40">
        <v>8462</v>
      </c>
      <c r="B2022" s="39" t="s">
        <v>819</v>
      </c>
      <c r="C2022" s="40" t="s">
        <v>2580</v>
      </c>
      <c r="D2022" s="74" t="s">
        <v>1269</v>
      </c>
      <c r="E2022" s="74" t="s">
        <v>1266</v>
      </c>
      <c r="F2022" s="74" t="s">
        <v>1268</v>
      </c>
      <c r="G2022" s="74" t="s">
        <v>1268</v>
      </c>
    </row>
    <row r="2023" spans="1:7" x14ac:dyDescent="0.2">
      <c r="A2023" s="40">
        <v>8463</v>
      </c>
      <c r="B2023" s="39" t="s">
        <v>820</v>
      </c>
      <c r="C2023" s="40" t="s">
        <v>2580</v>
      </c>
      <c r="D2023" s="74" t="s">
        <v>1269</v>
      </c>
      <c r="E2023" s="74" t="s">
        <v>1266</v>
      </c>
      <c r="F2023" s="74" t="s">
        <v>1268</v>
      </c>
      <c r="G2023" s="74" t="s">
        <v>1268</v>
      </c>
    </row>
    <row r="2024" spans="1:7" x14ac:dyDescent="0.2">
      <c r="A2024" s="40">
        <v>8471</v>
      </c>
      <c r="B2024" s="39" t="s">
        <v>821</v>
      </c>
      <c r="C2024" s="40" t="s">
        <v>2580</v>
      </c>
      <c r="D2024" s="74" t="s">
        <v>1269</v>
      </c>
      <c r="E2024" s="74" t="s">
        <v>1266</v>
      </c>
      <c r="F2024" s="74" t="s">
        <v>1268</v>
      </c>
      <c r="G2024" s="74" t="s">
        <v>1268</v>
      </c>
    </row>
    <row r="2025" spans="1:7" x14ac:dyDescent="0.2">
      <c r="A2025" s="40">
        <v>8472</v>
      </c>
      <c r="B2025" s="39" t="s">
        <v>822</v>
      </c>
      <c r="C2025" s="40" t="s">
        <v>2580</v>
      </c>
      <c r="D2025" s="74" t="s">
        <v>1269</v>
      </c>
      <c r="E2025" s="74" t="s">
        <v>1266</v>
      </c>
      <c r="F2025" s="74" t="s">
        <v>1268</v>
      </c>
      <c r="G2025" s="74" t="s">
        <v>1268</v>
      </c>
    </row>
    <row r="2026" spans="1:7" x14ac:dyDescent="0.2">
      <c r="A2026" s="40">
        <v>8473</v>
      </c>
      <c r="B2026" s="39" t="s">
        <v>823</v>
      </c>
      <c r="C2026" s="40" t="s">
        <v>2580</v>
      </c>
      <c r="D2026" s="74" t="s">
        <v>1269</v>
      </c>
      <c r="E2026" s="74" t="s">
        <v>1266</v>
      </c>
      <c r="F2026" s="74" t="s">
        <v>1268</v>
      </c>
      <c r="G2026" s="74" t="s">
        <v>1267</v>
      </c>
    </row>
    <row r="2027" spans="1:7" x14ac:dyDescent="0.2">
      <c r="A2027" s="40">
        <v>8480</v>
      </c>
      <c r="B2027" s="39" t="s">
        <v>829</v>
      </c>
      <c r="C2027" s="40" t="s">
        <v>2580</v>
      </c>
      <c r="D2027" s="74" t="s">
        <v>1269</v>
      </c>
      <c r="E2027" s="74" t="s">
        <v>1266</v>
      </c>
      <c r="F2027" s="74" t="s">
        <v>1268</v>
      </c>
      <c r="G2027" s="74" t="s">
        <v>1268</v>
      </c>
    </row>
    <row r="2028" spans="1:7" x14ac:dyDescent="0.2">
      <c r="A2028" s="40">
        <v>8481</v>
      </c>
      <c r="B2028" s="39" t="s">
        <v>830</v>
      </c>
      <c r="C2028" s="40" t="s">
        <v>2580</v>
      </c>
      <c r="D2028" s="74" t="s">
        <v>1269</v>
      </c>
      <c r="E2028" s="74" t="s">
        <v>1266</v>
      </c>
      <c r="F2028" s="74" t="s">
        <v>1268</v>
      </c>
      <c r="G2028" s="74" t="s">
        <v>1267</v>
      </c>
    </row>
    <row r="2029" spans="1:7" x14ac:dyDescent="0.2">
      <c r="A2029" s="40">
        <v>8482</v>
      </c>
      <c r="B2029" s="39" t="s">
        <v>831</v>
      </c>
      <c r="C2029" s="40" t="s">
        <v>2580</v>
      </c>
      <c r="D2029" s="74" t="s">
        <v>1269</v>
      </c>
      <c r="E2029" s="74" t="s">
        <v>1266</v>
      </c>
      <c r="F2029" s="74" t="s">
        <v>1268</v>
      </c>
      <c r="G2029" s="74" t="s">
        <v>1267</v>
      </c>
    </row>
    <row r="2030" spans="1:7" x14ac:dyDescent="0.2">
      <c r="A2030" s="40">
        <v>8483</v>
      </c>
      <c r="B2030" s="39" t="s">
        <v>832</v>
      </c>
      <c r="C2030" s="40" t="s">
        <v>2580</v>
      </c>
      <c r="D2030" s="74" t="s">
        <v>1269</v>
      </c>
      <c r="E2030" s="74" t="s">
        <v>1266</v>
      </c>
      <c r="F2030" s="74" t="s">
        <v>1268</v>
      </c>
      <c r="G2030" s="74" t="s">
        <v>1267</v>
      </c>
    </row>
    <row r="2031" spans="1:7" x14ac:dyDescent="0.2">
      <c r="A2031" s="40">
        <v>8484</v>
      </c>
      <c r="B2031" s="39" t="s">
        <v>833</v>
      </c>
      <c r="C2031" s="40" t="s">
        <v>2580</v>
      </c>
      <c r="D2031" s="74" t="s">
        <v>1269</v>
      </c>
      <c r="E2031" s="74" t="s">
        <v>1266</v>
      </c>
      <c r="F2031" s="74" t="s">
        <v>1268</v>
      </c>
      <c r="G2031" s="74" t="s">
        <v>1267</v>
      </c>
    </row>
    <row r="2032" spans="1:7" x14ac:dyDescent="0.2">
      <c r="A2032" s="40">
        <v>8490</v>
      </c>
      <c r="B2032" s="39" t="s">
        <v>834</v>
      </c>
      <c r="C2032" s="40" t="s">
        <v>2580</v>
      </c>
      <c r="D2032" s="74" t="s">
        <v>1269</v>
      </c>
      <c r="E2032" s="74" t="s">
        <v>1266</v>
      </c>
      <c r="F2032" s="74" t="s">
        <v>1268</v>
      </c>
      <c r="G2032" s="74" t="s">
        <v>1268</v>
      </c>
    </row>
    <row r="2033" spans="1:7" x14ac:dyDescent="0.2">
      <c r="A2033" s="40">
        <v>8492</v>
      </c>
      <c r="B2033" s="39" t="s">
        <v>835</v>
      </c>
      <c r="C2033" s="40" t="s">
        <v>2580</v>
      </c>
      <c r="D2033" s="74" t="s">
        <v>1269</v>
      </c>
      <c r="E2033" s="74" t="s">
        <v>1266</v>
      </c>
      <c r="F2033" s="74" t="s">
        <v>1268</v>
      </c>
      <c r="G2033" s="74" t="s">
        <v>1267</v>
      </c>
    </row>
    <row r="2034" spans="1:7" x14ac:dyDescent="0.2">
      <c r="A2034" s="40">
        <v>8493</v>
      </c>
      <c r="B2034" s="39" t="s">
        <v>836</v>
      </c>
      <c r="C2034" s="40" t="s">
        <v>2580</v>
      </c>
      <c r="D2034" s="74" t="s">
        <v>1269</v>
      </c>
      <c r="E2034" s="74" t="s">
        <v>1266</v>
      </c>
      <c r="F2034" s="74" t="s">
        <v>1268</v>
      </c>
      <c r="G2034" s="74" t="s">
        <v>1267</v>
      </c>
    </row>
    <row r="2035" spans="1:7" x14ac:dyDescent="0.2">
      <c r="A2035" s="40">
        <v>8501</v>
      </c>
      <c r="B2035" s="39" t="s">
        <v>837</v>
      </c>
      <c r="C2035" s="40" t="s">
        <v>2580</v>
      </c>
      <c r="D2035" s="74" t="s">
        <v>1269</v>
      </c>
      <c r="E2035" s="74" t="s">
        <v>1266</v>
      </c>
      <c r="F2035" s="74" t="s">
        <v>1268</v>
      </c>
      <c r="G2035" s="74" t="s">
        <v>1268</v>
      </c>
    </row>
    <row r="2036" spans="1:7" x14ac:dyDescent="0.2">
      <c r="A2036" s="40">
        <v>8502</v>
      </c>
      <c r="B2036" s="39" t="s">
        <v>838</v>
      </c>
      <c r="C2036" s="40" t="s">
        <v>2580</v>
      </c>
      <c r="D2036" s="74" t="s">
        <v>1269</v>
      </c>
      <c r="E2036" s="74" t="s">
        <v>1266</v>
      </c>
      <c r="F2036" s="74" t="s">
        <v>1268</v>
      </c>
      <c r="G2036" s="74" t="s">
        <v>1268</v>
      </c>
    </row>
    <row r="2037" spans="1:7" x14ac:dyDescent="0.2">
      <c r="A2037" s="40">
        <v>8503</v>
      </c>
      <c r="B2037" s="39" t="s">
        <v>839</v>
      </c>
      <c r="C2037" s="40" t="s">
        <v>2580</v>
      </c>
      <c r="D2037" s="74" t="s">
        <v>1269</v>
      </c>
      <c r="E2037" s="74" t="s">
        <v>1266</v>
      </c>
      <c r="F2037" s="74" t="s">
        <v>1268</v>
      </c>
      <c r="G2037" s="74" t="s">
        <v>1267</v>
      </c>
    </row>
    <row r="2038" spans="1:7" x14ac:dyDescent="0.2">
      <c r="A2038" s="40">
        <v>8504</v>
      </c>
      <c r="B2038" s="39" t="s">
        <v>840</v>
      </c>
      <c r="C2038" s="40" t="s">
        <v>2580</v>
      </c>
      <c r="D2038" s="74" t="s">
        <v>1269</v>
      </c>
      <c r="E2038" s="74" t="s">
        <v>1266</v>
      </c>
      <c r="F2038" s="74" t="s">
        <v>1268</v>
      </c>
      <c r="G2038" s="74" t="s">
        <v>1268</v>
      </c>
    </row>
    <row r="2039" spans="1:7" x14ac:dyDescent="0.2">
      <c r="A2039" s="40">
        <v>8505</v>
      </c>
      <c r="B2039" s="39" t="s">
        <v>841</v>
      </c>
      <c r="C2039" s="40" t="s">
        <v>2580</v>
      </c>
      <c r="D2039" s="74" t="s">
        <v>1269</v>
      </c>
      <c r="E2039" s="74" t="s">
        <v>1266</v>
      </c>
      <c r="F2039" s="74" t="s">
        <v>1268</v>
      </c>
      <c r="G2039" s="74" t="s">
        <v>1268</v>
      </c>
    </row>
    <row r="2040" spans="1:7" x14ac:dyDescent="0.2">
      <c r="A2040" s="40">
        <v>8510</v>
      </c>
      <c r="B2040" s="39" t="s">
        <v>842</v>
      </c>
      <c r="C2040" s="40" t="s">
        <v>2580</v>
      </c>
      <c r="D2040" s="74" t="s">
        <v>1269</v>
      </c>
      <c r="E2040" s="74" t="s">
        <v>1266</v>
      </c>
      <c r="F2040" s="74" t="s">
        <v>1268</v>
      </c>
      <c r="G2040" s="74" t="s">
        <v>1268</v>
      </c>
    </row>
    <row r="2041" spans="1:7" x14ac:dyDescent="0.2">
      <c r="A2041" s="40">
        <v>8511</v>
      </c>
      <c r="B2041" s="39" t="s">
        <v>843</v>
      </c>
      <c r="C2041" s="40" t="s">
        <v>2580</v>
      </c>
      <c r="D2041" s="74" t="s">
        <v>1269</v>
      </c>
      <c r="E2041" s="74" t="s">
        <v>1266</v>
      </c>
      <c r="F2041" s="74" t="s">
        <v>1268</v>
      </c>
      <c r="G2041" s="74" t="s">
        <v>1268</v>
      </c>
    </row>
    <row r="2042" spans="1:7" x14ac:dyDescent="0.2">
      <c r="A2042" s="40">
        <v>8521</v>
      </c>
      <c r="B2042" s="39" t="s">
        <v>844</v>
      </c>
      <c r="C2042" s="40" t="s">
        <v>2580</v>
      </c>
      <c r="D2042" s="74" t="s">
        <v>1269</v>
      </c>
      <c r="E2042" s="74" t="s">
        <v>1266</v>
      </c>
      <c r="F2042" s="74" t="s">
        <v>1268</v>
      </c>
      <c r="G2042" s="74" t="s">
        <v>1267</v>
      </c>
    </row>
    <row r="2043" spans="1:7" x14ac:dyDescent="0.2">
      <c r="A2043" s="40">
        <v>8522</v>
      </c>
      <c r="B2043" s="39" t="s">
        <v>845</v>
      </c>
      <c r="C2043" s="40" t="s">
        <v>2580</v>
      </c>
      <c r="D2043" s="74" t="s">
        <v>1269</v>
      </c>
      <c r="E2043" s="74" t="s">
        <v>1266</v>
      </c>
      <c r="F2043" s="74" t="s">
        <v>1268</v>
      </c>
      <c r="G2043" s="74" t="s">
        <v>1268</v>
      </c>
    </row>
    <row r="2044" spans="1:7" x14ac:dyDescent="0.2">
      <c r="A2044" s="40">
        <v>8523</v>
      </c>
      <c r="B2044" s="39" t="s">
        <v>846</v>
      </c>
      <c r="C2044" s="40" t="s">
        <v>2580</v>
      </c>
      <c r="D2044" s="74" t="s">
        <v>1269</v>
      </c>
      <c r="E2044" s="74" t="s">
        <v>1266</v>
      </c>
      <c r="F2044" s="74" t="s">
        <v>1268</v>
      </c>
      <c r="G2044" s="74" t="s">
        <v>1268</v>
      </c>
    </row>
    <row r="2045" spans="1:7" x14ac:dyDescent="0.2">
      <c r="A2045" s="40">
        <v>8524</v>
      </c>
      <c r="B2045" s="39" t="s">
        <v>847</v>
      </c>
      <c r="C2045" s="40" t="s">
        <v>2580</v>
      </c>
      <c r="D2045" s="74" t="s">
        <v>1269</v>
      </c>
      <c r="E2045" s="74" t="s">
        <v>1266</v>
      </c>
      <c r="F2045" s="74" t="s">
        <v>1268</v>
      </c>
      <c r="G2045" s="74" t="s">
        <v>1267</v>
      </c>
    </row>
    <row r="2046" spans="1:7" x14ac:dyDescent="0.2">
      <c r="A2046" s="40">
        <v>8530</v>
      </c>
      <c r="B2046" s="39" t="s">
        <v>848</v>
      </c>
      <c r="C2046" s="40" t="s">
        <v>2580</v>
      </c>
      <c r="D2046" s="74" t="s">
        <v>1269</v>
      </c>
      <c r="E2046" s="74" t="s">
        <v>1266</v>
      </c>
      <c r="F2046" s="74" t="s">
        <v>1268</v>
      </c>
      <c r="G2046" s="74" t="s">
        <v>1268</v>
      </c>
    </row>
    <row r="2047" spans="1:7" x14ac:dyDescent="0.2">
      <c r="A2047" s="40">
        <v>8541</v>
      </c>
      <c r="B2047" s="39" t="s">
        <v>849</v>
      </c>
      <c r="C2047" s="40" t="s">
        <v>2580</v>
      </c>
      <c r="D2047" s="74" t="s">
        <v>1269</v>
      </c>
      <c r="E2047" s="74" t="s">
        <v>1266</v>
      </c>
      <c r="F2047" s="74" t="s">
        <v>1268</v>
      </c>
      <c r="G2047" s="74" t="s">
        <v>1268</v>
      </c>
    </row>
    <row r="2048" spans="1:7" x14ac:dyDescent="0.2">
      <c r="A2048" s="40">
        <v>8542</v>
      </c>
      <c r="B2048" s="39" t="s">
        <v>850</v>
      </c>
      <c r="C2048" s="40" t="s">
        <v>2580</v>
      </c>
      <c r="D2048" s="74" t="s">
        <v>1269</v>
      </c>
      <c r="E2048" s="74" t="s">
        <v>1266</v>
      </c>
      <c r="F2048" s="74" t="s">
        <v>1268</v>
      </c>
      <c r="G2048" s="74" t="s">
        <v>1268</v>
      </c>
    </row>
    <row r="2049" spans="1:7" x14ac:dyDescent="0.2">
      <c r="A2049" s="40">
        <v>8543</v>
      </c>
      <c r="B2049" s="39" t="s">
        <v>851</v>
      </c>
      <c r="C2049" s="40" t="s">
        <v>2580</v>
      </c>
      <c r="D2049" s="74" t="s">
        <v>1269</v>
      </c>
      <c r="E2049" s="74" t="s">
        <v>1266</v>
      </c>
      <c r="F2049" s="74" t="s">
        <v>1268</v>
      </c>
      <c r="G2049" s="74" t="s">
        <v>1267</v>
      </c>
    </row>
    <row r="2050" spans="1:7" x14ac:dyDescent="0.2">
      <c r="A2050" s="40">
        <v>8544</v>
      </c>
      <c r="B2050" s="39" t="s">
        <v>852</v>
      </c>
      <c r="C2050" s="40" t="s">
        <v>2580</v>
      </c>
      <c r="D2050" s="74" t="s">
        <v>1269</v>
      </c>
      <c r="E2050" s="74" t="s">
        <v>1266</v>
      </c>
      <c r="F2050" s="74" t="s">
        <v>1268</v>
      </c>
      <c r="G2050" s="74" t="s">
        <v>1267</v>
      </c>
    </row>
    <row r="2051" spans="1:7" x14ac:dyDescent="0.2">
      <c r="A2051" s="40">
        <v>8551</v>
      </c>
      <c r="B2051" s="39" t="s">
        <v>853</v>
      </c>
      <c r="C2051" s="40" t="s">
        <v>2580</v>
      </c>
      <c r="D2051" s="74" t="s">
        <v>1269</v>
      </c>
      <c r="E2051" s="74" t="s">
        <v>1266</v>
      </c>
      <c r="F2051" s="74" t="s">
        <v>1268</v>
      </c>
      <c r="G2051" s="74" t="s">
        <v>1268</v>
      </c>
    </row>
    <row r="2052" spans="1:7" x14ac:dyDescent="0.2">
      <c r="A2052" s="40">
        <v>8552</v>
      </c>
      <c r="B2052" s="39" t="s">
        <v>854</v>
      </c>
      <c r="C2052" s="40" t="s">
        <v>2580</v>
      </c>
      <c r="D2052" s="74" t="s">
        <v>1269</v>
      </c>
      <c r="E2052" s="74" t="s">
        <v>1266</v>
      </c>
      <c r="F2052" s="74" t="s">
        <v>1268</v>
      </c>
      <c r="G2052" s="74" t="s">
        <v>1268</v>
      </c>
    </row>
    <row r="2053" spans="1:7" x14ac:dyDescent="0.2">
      <c r="A2053" s="40">
        <v>8553</v>
      </c>
      <c r="B2053" s="39" t="s">
        <v>855</v>
      </c>
      <c r="C2053" s="40" t="s">
        <v>2580</v>
      </c>
      <c r="D2053" s="74" t="s">
        <v>1269</v>
      </c>
      <c r="E2053" s="74" t="s">
        <v>1266</v>
      </c>
      <c r="F2053" s="74" t="s">
        <v>1268</v>
      </c>
      <c r="G2053" s="74" t="s">
        <v>1267</v>
      </c>
    </row>
    <row r="2054" spans="1:7" x14ac:dyDescent="0.2">
      <c r="A2054" s="40">
        <v>8554</v>
      </c>
      <c r="B2054" s="39" t="s">
        <v>1091</v>
      </c>
      <c r="C2054" s="40" t="s">
        <v>2580</v>
      </c>
      <c r="D2054" s="74" t="s">
        <v>1269</v>
      </c>
      <c r="E2054" s="74" t="s">
        <v>1266</v>
      </c>
      <c r="F2054" s="74" t="s">
        <v>1268</v>
      </c>
      <c r="G2054" s="74" t="s">
        <v>1267</v>
      </c>
    </row>
    <row r="2055" spans="1:7" x14ac:dyDescent="0.2">
      <c r="A2055" s="40">
        <v>8561</v>
      </c>
      <c r="B2055" s="39" t="s">
        <v>1092</v>
      </c>
      <c r="C2055" s="40" t="s">
        <v>2580</v>
      </c>
      <c r="D2055" s="74" t="s">
        <v>1269</v>
      </c>
      <c r="E2055" s="74" t="s">
        <v>1266</v>
      </c>
      <c r="F2055" s="74" t="s">
        <v>1268</v>
      </c>
      <c r="G2055" s="74" t="s">
        <v>1267</v>
      </c>
    </row>
    <row r="2056" spans="1:7" x14ac:dyDescent="0.2">
      <c r="A2056" s="40">
        <v>8562</v>
      </c>
      <c r="B2056" s="39" t="s">
        <v>1093</v>
      </c>
      <c r="C2056" s="40" t="s">
        <v>2580</v>
      </c>
      <c r="D2056" s="74" t="s">
        <v>1269</v>
      </c>
      <c r="E2056" s="74" t="s">
        <v>1266</v>
      </c>
      <c r="F2056" s="74" t="s">
        <v>1268</v>
      </c>
      <c r="G2056" s="74" t="s">
        <v>1267</v>
      </c>
    </row>
    <row r="2057" spans="1:7" x14ac:dyDescent="0.2">
      <c r="A2057" s="40">
        <v>8563</v>
      </c>
      <c r="B2057" s="39" t="s">
        <v>1094</v>
      </c>
      <c r="C2057" s="40" t="s">
        <v>2580</v>
      </c>
      <c r="D2057" s="74" t="s">
        <v>1269</v>
      </c>
      <c r="E2057" s="74" t="s">
        <v>1266</v>
      </c>
      <c r="F2057" s="74" t="s">
        <v>1268</v>
      </c>
      <c r="G2057" s="74" t="s">
        <v>1268</v>
      </c>
    </row>
    <row r="2058" spans="1:7" x14ac:dyDescent="0.2">
      <c r="A2058" s="40">
        <v>8564</v>
      </c>
      <c r="B2058" s="39" t="s">
        <v>1095</v>
      </c>
      <c r="C2058" s="40" t="s">
        <v>2580</v>
      </c>
      <c r="D2058" s="74" t="s">
        <v>1269</v>
      </c>
      <c r="E2058" s="74" t="s">
        <v>1266</v>
      </c>
      <c r="F2058" s="74" t="s">
        <v>1268</v>
      </c>
      <c r="G2058" s="74" t="s">
        <v>1268</v>
      </c>
    </row>
    <row r="2059" spans="1:7" x14ac:dyDescent="0.2">
      <c r="A2059" s="40">
        <v>8565</v>
      </c>
      <c r="B2059" s="39" t="s">
        <v>1096</v>
      </c>
      <c r="C2059" s="40" t="s">
        <v>2580</v>
      </c>
      <c r="D2059" s="74" t="s">
        <v>1269</v>
      </c>
      <c r="E2059" s="74" t="s">
        <v>1266</v>
      </c>
      <c r="F2059" s="74" t="s">
        <v>1268</v>
      </c>
      <c r="G2059" s="74" t="s">
        <v>1267</v>
      </c>
    </row>
    <row r="2060" spans="1:7" x14ac:dyDescent="0.2">
      <c r="A2060" s="40">
        <v>8570</v>
      </c>
      <c r="B2060" s="39" t="s">
        <v>1097</v>
      </c>
      <c r="C2060" s="40" t="s">
        <v>2580</v>
      </c>
      <c r="D2060" s="74" t="s">
        <v>1269</v>
      </c>
      <c r="E2060" s="74" t="s">
        <v>1266</v>
      </c>
      <c r="F2060" s="74" t="s">
        <v>1268</v>
      </c>
      <c r="G2060" s="74" t="s">
        <v>1268</v>
      </c>
    </row>
    <row r="2061" spans="1:7" x14ac:dyDescent="0.2">
      <c r="A2061" s="40">
        <v>8572</v>
      </c>
      <c r="B2061" s="39" t="s">
        <v>1098</v>
      </c>
      <c r="C2061" s="40" t="s">
        <v>2580</v>
      </c>
      <c r="D2061" s="74" t="s">
        <v>1269</v>
      </c>
      <c r="E2061" s="74" t="s">
        <v>1266</v>
      </c>
      <c r="F2061" s="74" t="s">
        <v>1268</v>
      </c>
      <c r="G2061" s="74" t="s">
        <v>1268</v>
      </c>
    </row>
    <row r="2062" spans="1:7" x14ac:dyDescent="0.2">
      <c r="A2062" s="40">
        <v>8573</v>
      </c>
      <c r="B2062" s="39" t="s">
        <v>1099</v>
      </c>
      <c r="C2062" s="40" t="s">
        <v>2580</v>
      </c>
      <c r="D2062" s="74" t="s">
        <v>1269</v>
      </c>
      <c r="E2062" s="74" t="s">
        <v>1266</v>
      </c>
      <c r="F2062" s="74" t="s">
        <v>1268</v>
      </c>
      <c r="G2062" s="74" t="s">
        <v>1267</v>
      </c>
    </row>
    <row r="2063" spans="1:7" x14ac:dyDescent="0.2">
      <c r="A2063" s="40">
        <v>8580</v>
      </c>
      <c r="B2063" s="39" t="s">
        <v>1100</v>
      </c>
      <c r="C2063" s="40" t="s">
        <v>2580</v>
      </c>
      <c r="D2063" s="74" t="s">
        <v>1269</v>
      </c>
      <c r="E2063" s="74" t="s">
        <v>1266</v>
      </c>
      <c r="F2063" s="74" t="s">
        <v>1268</v>
      </c>
      <c r="G2063" s="74" t="s">
        <v>1268</v>
      </c>
    </row>
    <row r="2064" spans="1:7" x14ac:dyDescent="0.2">
      <c r="A2064" s="40">
        <v>8582</v>
      </c>
      <c r="B2064" s="39" t="s">
        <v>1101</v>
      </c>
      <c r="C2064" s="40" t="s">
        <v>2580</v>
      </c>
      <c r="D2064" s="74" t="s">
        <v>1269</v>
      </c>
      <c r="E2064" s="74" t="s">
        <v>1266</v>
      </c>
      <c r="F2064" s="74" t="s">
        <v>1268</v>
      </c>
      <c r="G2064" s="74" t="s">
        <v>1267</v>
      </c>
    </row>
    <row r="2065" spans="1:7" x14ac:dyDescent="0.2">
      <c r="A2065" s="40">
        <v>8583</v>
      </c>
      <c r="B2065" s="39" t="s">
        <v>1102</v>
      </c>
      <c r="C2065" s="40" t="s">
        <v>2580</v>
      </c>
      <c r="D2065" s="74" t="s">
        <v>1269</v>
      </c>
      <c r="E2065" s="74" t="s">
        <v>1266</v>
      </c>
      <c r="F2065" s="74" t="s">
        <v>1268</v>
      </c>
      <c r="G2065" s="74" t="s">
        <v>1268</v>
      </c>
    </row>
    <row r="2066" spans="1:7" x14ac:dyDescent="0.2">
      <c r="A2066" s="40">
        <v>8584</v>
      </c>
      <c r="B2066" s="39" t="s">
        <v>2499</v>
      </c>
      <c r="C2066" s="40" t="s">
        <v>2580</v>
      </c>
      <c r="D2066" s="74" t="s">
        <v>1269</v>
      </c>
      <c r="E2066" s="74" t="s">
        <v>1266</v>
      </c>
      <c r="F2066" s="74" t="s">
        <v>1268</v>
      </c>
      <c r="G2066" s="74" t="s">
        <v>1267</v>
      </c>
    </row>
    <row r="2067" spans="1:7" x14ac:dyDescent="0.2">
      <c r="A2067" s="40">
        <v>8591</v>
      </c>
      <c r="B2067" s="39" t="s">
        <v>1103</v>
      </c>
      <c r="C2067" s="40" t="s">
        <v>2580</v>
      </c>
      <c r="D2067" s="74" t="s">
        <v>1269</v>
      </c>
      <c r="E2067" s="74" t="s">
        <v>1266</v>
      </c>
      <c r="F2067" s="74" t="s">
        <v>1268</v>
      </c>
      <c r="G2067" s="74" t="s">
        <v>1267</v>
      </c>
    </row>
    <row r="2068" spans="1:7" x14ac:dyDescent="0.2">
      <c r="A2068" s="40">
        <v>8592</v>
      </c>
      <c r="B2068" s="39" t="s">
        <v>1104</v>
      </c>
      <c r="C2068" s="40" t="s">
        <v>2580</v>
      </c>
      <c r="D2068" s="74" t="s">
        <v>1269</v>
      </c>
      <c r="E2068" s="74" t="s">
        <v>1266</v>
      </c>
      <c r="F2068" s="74" t="s">
        <v>1268</v>
      </c>
      <c r="G2068" s="74" t="s">
        <v>1267</v>
      </c>
    </row>
    <row r="2069" spans="1:7" x14ac:dyDescent="0.2">
      <c r="A2069" s="40">
        <v>8593</v>
      </c>
      <c r="B2069" s="39" t="s">
        <v>1105</v>
      </c>
      <c r="C2069" s="40" t="s">
        <v>2580</v>
      </c>
      <c r="D2069" s="74" t="s">
        <v>1269</v>
      </c>
      <c r="E2069" s="74" t="s">
        <v>1266</v>
      </c>
      <c r="F2069" s="74" t="s">
        <v>1268</v>
      </c>
      <c r="G2069" s="74" t="s">
        <v>1267</v>
      </c>
    </row>
    <row r="2070" spans="1:7" x14ac:dyDescent="0.2">
      <c r="A2070" s="40">
        <v>8600</v>
      </c>
      <c r="B2070" s="39" t="s">
        <v>139</v>
      </c>
      <c r="C2070" s="40" t="s">
        <v>2580</v>
      </c>
      <c r="D2070" s="74" t="s">
        <v>1269</v>
      </c>
      <c r="E2070" s="74" t="s">
        <v>1266</v>
      </c>
      <c r="F2070" s="74" t="s">
        <v>1268</v>
      </c>
      <c r="G2070" s="74" t="s">
        <v>1268</v>
      </c>
    </row>
    <row r="2071" spans="1:7" x14ac:dyDescent="0.2">
      <c r="A2071" s="40">
        <v>8601</v>
      </c>
      <c r="B2071" s="39" t="s">
        <v>139</v>
      </c>
      <c r="C2071" s="40" t="s">
        <v>2580</v>
      </c>
      <c r="D2071" s="74" t="s">
        <v>1271</v>
      </c>
      <c r="E2071" s="74" t="s">
        <v>1266</v>
      </c>
      <c r="F2071" s="74" t="s">
        <v>1267</v>
      </c>
      <c r="G2071" s="74" t="s">
        <v>1268</v>
      </c>
    </row>
    <row r="2072" spans="1:7" x14ac:dyDescent="0.2">
      <c r="A2072" s="40">
        <v>8605</v>
      </c>
      <c r="B2072" s="39" t="s">
        <v>1106</v>
      </c>
      <c r="C2072" s="40" t="s">
        <v>2580</v>
      </c>
      <c r="D2072" s="74" t="s">
        <v>1269</v>
      </c>
      <c r="E2072" s="74" t="s">
        <v>1266</v>
      </c>
      <c r="F2072" s="74" t="s">
        <v>1268</v>
      </c>
      <c r="G2072" s="74" t="s">
        <v>1268</v>
      </c>
    </row>
    <row r="2073" spans="1:7" x14ac:dyDescent="0.2">
      <c r="A2073" s="40">
        <v>8607</v>
      </c>
      <c r="B2073" s="39" t="s">
        <v>1106</v>
      </c>
      <c r="C2073" s="40" t="s">
        <v>2580</v>
      </c>
      <c r="D2073" s="74" t="s">
        <v>1271</v>
      </c>
      <c r="E2073" s="74" t="s">
        <v>1266</v>
      </c>
      <c r="F2073" s="74" t="s">
        <v>1267</v>
      </c>
      <c r="G2073" s="74" t="s">
        <v>1268</v>
      </c>
    </row>
    <row r="2074" spans="1:7" x14ac:dyDescent="0.2">
      <c r="A2074" s="40">
        <v>8611</v>
      </c>
      <c r="B2074" s="39" t="s">
        <v>1107</v>
      </c>
      <c r="C2074" s="40" t="s">
        <v>2580</v>
      </c>
      <c r="D2074" s="74" t="s">
        <v>1269</v>
      </c>
      <c r="E2074" s="74" t="s">
        <v>1266</v>
      </c>
      <c r="F2074" s="74" t="s">
        <v>1268</v>
      </c>
      <c r="G2074" s="74" t="s">
        <v>1268</v>
      </c>
    </row>
    <row r="2075" spans="1:7" x14ac:dyDescent="0.2">
      <c r="A2075" s="40">
        <v>8612</v>
      </c>
      <c r="B2075" s="39" t="s">
        <v>1108</v>
      </c>
      <c r="C2075" s="40" t="s">
        <v>2580</v>
      </c>
      <c r="D2075" s="74" t="s">
        <v>1269</v>
      </c>
      <c r="E2075" s="74" t="s">
        <v>1266</v>
      </c>
      <c r="F2075" s="74" t="s">
        <v>1268</v>
      </c>
      <c r="G2075" s="74" t="s">
        <v>1267</v>
      </c>
    </row>
    <row r="2076" spans="1:7" x14ac:dyDescent="0.2">
      <c r="A2076" s="40">
        <v>8614</v>
      </c>
      <c r="B2076" s="39" t="s">
        <v>1878</v>
      </c>
      <c r="C2076" s="40" t="s">
        <v>2580</v>
      </c>
      <c r="D2076" s="74" t="s">
        <v>1269</v>
      </c>
      <c r="E2076" s="74" t="s">
        <v>1266</v>
      </c>
      <c r="F2076" s="74" t="s">
        <v>1268</v>
      </c>
      <c r="G2076" s="74" t="s">
        <v>1268</v>
      </c>
    </row>
    <row r="2077" spans="1:7" x14ac:dyDescent="0.2">
      <c r="A2077" s="40">
        <v>8616</v>
      </c>
      <c r="B2077" s="39" t="s">
        <v>1109</v>
      </c>
      <c r="C2077" s="40" t="s">
        <v>2580</v>
      </c>
      <c r="D2077" s="74" t="s">
        <v>1269</v>
      </c>
      <c r="E2077" s="74" t="s">
        <v>1266</v>
      </c>
      <c r="F2077" s="74" t="s">
        <v>1268</v>
      </c>
      <c r="G2077" s="74" t="s">
        <v>1267</v>
      </c>
    </row>
    <row r="2078" spans="1:7" x14ac:dyDescent="0.2">
      <c r="A2078" s="40">
        <v>8621</v>
      </c>
      <c r="B2078" s="39" t="s">
        <v>1110</v>
      </c>
      <c r="C2078" s="40" t="s">
        <v>2580</v>
      </c>
      <c r="D2078" s="74" t="s">
        <v>1269</v>
      </c>
      <c r="E2078" s="74" t="s">
        <v>1266</v>
      </c>
      <c r="F2078" s="74" t="s">
        <v>1268</v>
      </c>
      <c r="G2078" s="74" t="s">
        <v>1268</v>
      </c>
    </row>
    <row r="2079" spans="1:7" x14ac:dyDescent="0.2">
      <c r="A2079" s="40">
        <v>8622</v>
      </c>
      <c r="B2079" s="39" t="s">
        <v>1111</v>
      </c>
      <c r="C2079" s="40" t="s">
        <v>2580</v>
      </c>
      <c r="D2079" s="74" t="s">
        <v>1269</v>
      </c>
      <c r="E2079" s="74" t="s">
        <v>1266</v>
      </c>
      <c r="F2079" s="74" t="s">
        <v>1268</v>
      </c>
      <c r="G2079" s="74" t="s">
        <v>1267</v>
      </c>
    </row>
    <row r="2080" spans="1:7" x14ac:dyDescent="0.2">
      <c r="A2080" s="40">
        <v>8623</v>
      </c>
      <c r="B2080" s="39" t="s">
        <v>1112</v>
      </c>
      <c r="C2080" s="40" t="s">
        <v>2580</v>
      </c>
      <c r="D2080" s="74" t="s">
        <v>1269</v>
      </c>
      <c r="E2080" s="74" t="s">
        <v>1266</v>
      </c>
      <c r="F2080" s="74" t="s">
        <v>1268</v>
      </c>
      <c r="G2080" s="74" t="s">
        <v>1268</v>
      </c>
    </row>
    <row r="2081" spans="1:7" x14ac:dyDescent="0.2">
      <c r="A2081" s="40">
        <v>8624</v>
      </c>
      <c r="B2081" s="39" t="s">
        <v>2468</v>
      </c>
      <c r="C2081" s="40" t="s">
        <v>2580</v>
      </c>
      <c r="D2081" s="74" t="s">
        <v>1269</v>
      </c>
      <c r="E2081" s="74" t="s">
        <v>1266</v>
      </c>
      <c r="F2081" s="74" t="s">
        <v>1268</v>
      </c>
      <c r="G2081" s="74" t="s">
        <v>1267</v>
      </c>
    </row>
    <row r="2082" spans="1:7" x14ac:dyDescent="0.2">
      <c r="A2082" s="40">
        <v>8625</v>
      </c>
      <c r="B2082" s="39" t="s">
        <v>1113</v>
      </c>
      <c r="C2082" s="40" t="s">
        <v>2580</v>
      </c>
      <c r="D2082" s="74" t="s">
        <v>1269</v>
      </c>
      <c r="E2082" s="74" t="s">
        <v>1266</v>
      </c>
      <c r="F2082" s="74" t="s">
        <v>1268</v>
      </c>
      <c r="G2082" s="74" t="s">
        <v>1267</v>
      </c>
    </row>
    <row r="2083" spans="1:7" x14ac:dyDescent="0.2">
      <c r="A2083" s="40">
        <v>8630</v>
      </c>
      <c r="B2083" s="39" t="s">
        <v>1114</v>
      </c>
      <c r="C2083" s="40" t="s">
        <v>2580</v>
      </c>
      <c r="D2083" s="74" t="s">
        <v>1269</v>
      </c>
      <c r="E2083" s="74" t="s">
        <v>1266</v>
      </c>
      <c r="F2083" s="74" t="s">
        <v>1268</v>
      </c>
      <c r="G2083" s="74" t="s">
        <v>1268</v>
      </c>
    </row>
    <row r="2084" spans="1:7" x14ac:dyDescent="0.2">
      <c r="A2084" s="40">
        <v>8632</v>
      </c>
      <c r="B2084" s="39" t="s">
        <v>1115</v>
      </c>
      <c r="C2084" s="40" t="s">
        <v>2580</v>
      </c>
      <c r="D2084" s="74" t="s">
        <v>1269</v>
      </c>
      <c r="E2084" s="74" t="s">
        <v>1266</v>
      </c>
      <c r="F2084" s="74" t="s">
        <v>1268</v>
      </c>
      <c r="G2084" s="74" t="s">
        <v>1267</v>
      </c>
    </row>
    <row r="2085" spans="1:7" x14ac:dyDescent="0.2">
      <c r="A2085" s="40">
        <v>8634</v>
      </c>
      <c r="B2085" s="39" t="s">
        <v>1116</v>
      </c>
      <c r="C2085" s="40" t="s">
        <v>2580</v>
      </c>
      <c r="D2085" s="74" t="s">
        <v>1269</v>
      </c>
      <c r="E2085" s="74" t="s">
        <v>1266</v>
      </c>
      <c r="F2085" s="74" t="s">
        <v>1268</v>
      </c>
      <c r="G2085" s="74" t="s">
        <v>1267</v>
      </c>
    </row>
    <row r="2086" spans="1:7" x14ac:dyDescent="0.2">
      <c r="A2086" s="40">
        <v>8635</v>
      </c>
      <c r="B2086" s="39" t="s">
        <v>1117</v>
      </c>
      <c r="C2086" s="40" t="s">
        <v>2580</v>
      </c>
      <c r="D2086" s="74" t="s">
        <v>1269</v>
      </c>
      <c r="E2086" s="74" t="s">
        <v>1266</v>
      </c>
      <c r="F2086" s="74" t="s">
        <v>1268</v>
      </c>
      <c r="G2086" s="74" t="s">
        <v>1267</v>
      </c>
    </row>
    <row r="2087" spans="1:7" x14ac:dyDescent="0.2">
      <c r="A2087" s="40">
        <v>8636</v>
      </c>
      <c r="B2087" s="39" t="s">
        <v>1118</v>
      </c>
      <c r="C2087" s="40" t="s">
        <v>2580</v>
      </c>
      <c r="D2087" s="74" t="s">
        <v>1269</v>
      </c>
      <c r="E2087" s="74" t="s">
        <v>1266</v>
      </c>
      <c r="F2087" s="74" t="s">
        <v>1268</v>
      </c>
      <c r="G2087" s="74" t="s">
        <v>1267</v>
      </c>
    </row>
    <row r="2088" spans="1:7" x14ac:dyDescent="0.2">
      <c r="A2088" s="40">
        <v>8641</v>
      </c>
      <c r="B2088" s="39" t="s">
        <v>1119</v>
      </c>
      <c r="C2088" s="40" t="s">
        <v>2580</v>
      </c>
      <c r="D2088" s="74" t="s">
        <v>1269</v>
      </c>
      <c r="E2088" s="74" t="s">
        <v>1266</v>
      </c>
      <c r="F2088" s="74" t="s">
        <v>1268</v>
      </c>
      <c r="G2088" s="74" t="s">
        <v>1268</v>
      </c>
    </row>
    <row r="2089" spans="1:7" x14ac:dyDescent="0.2">
      <c r="A2089" s="40">
        <v>8642</v>
      </c>
      <c r="B2089" s="39" t="s">
        <v>1120</v>
      </c>
      <c r="C2089" s="40" t="s">
        <v>2580</v>
      </c>
      <c r="D2089" s="74" t="s">
        <v>1269</v>
      </c>
      <c r="E2089" s="74" t="s">
        <v>1266</v>
      </c>
      <c r="F2089" s="74" t="s">
        <v>1268</v>
      </c>
      <c r="G2089" s="74" t="s">
        <v>1267</v>
      </c>
    </row>
    <row r="2090" spans="1:7" x14ac:dyDescent="0.2">
      <c r="A2090" s="40">
        <v>8643</v>
      </c>
      <c r="B2090" s="39" t="s">
        <v>1121</v>
      </c>
      <c r="C2090" s="40" t="s">
        <v>2580</v>
      </c>
      <c r="D2090" s="74" t="s">
        <v>1269</v>
      </c>
      <c r="E2090" s="74" t="s">
        <v>1266</v>
      </c>
      <c r="F2090" s="74" t="s">
        <v>1268</v>
      </c>
      <c r="G2090" s="74" t="s">
        <v>1268</v>
      </c>
    </row>
    <row r="2091" spans="1:7" x14ac:dyDescent="0.2">
      <c r="A2091" s="40">
        <v>8644</v>
      </c>
      <c r="B2091" s="39" t="s">
        <v>1122</v>
      </c>
      <c r="C2091" s="40" t="s">
        <v>2580</v>
      </c>
      <c r="D2091" s="74" t="s">
        <v>1269</v>
      </c>
      <c r="E2091" s="74" t="s">
        <v>1266</v>
      </c>
      <c r="F2091" s="74" t="s">
        <v>1268</v>
      </c>
      <c r="G2091" s="74" t="s">
        <v>1267</v>
      </c>
    </row>
    <row r="2092" spans="1:7" x14ac:dyDescent="0.2">
      <c r="A2092" s="40">
        <v>8650</v>
      </c>
      <c r="B2092" s="39" t="s">
        <v>1123</v>
      </c>
      <c r="C2092" s="40" t="s">
        <v>2580</v>
      </c>
      <c r="D2092" s="74" t="s">
        <v>1269</v>
      </c>
      <c r="E2092" s="74" t="s">
        <v>1266</v>
      </c>
      <c r="F2092" s="74" t="s">
        <v>1268</v>
      </c>
      <c r="G2092" s="74" t="s">
        <v>1268</v>
      </c>
    </row>
    <row r="2093" spans="1:7" x14ac:dyDescent="0.2">
      <c r="A2093" s="40">
        <v>8652</v>
      </c>
      <c r="B2093" s="39" t="s">
        <v>1124</v>
      </c>
      <c r="C2093" s="40" t="s">
        <v>2580</v>
      </c>
      <c r="D2093" s="74" t="s">
        <v>1269</v>
      </c>
      <c r="E2093" s="74" t="s">
        <v>1266</v>
      </c>
      <c r="F2093" s="74" t="s">
        <v>1268</v>
      </c>
      <c r="G2093" s="74" t="s">
        <v>1267</v>
      </c>
    </row>
    <row r="2094" spans="1:7" x14ac:dyDescent="0.2">
      <c r="A2094" s="40">
        <v>8653</v>
      </c>
      <c r="B2094" s="39" t="s">
        <v>1125</v>
      </c>
      <c r="C2094" s="40" t="s">
        <v>2580</v>
      </c>
      <c r="D2094" s="74" t="s">
        <v>1269</v>
      </c>
      <c r="E2094" s="74" t="s">
        <v>1266</v>
      </c>
      <c r="F2094" s="74" t="s">
        <v>1268</v>
      </c>
      <c r="G2094" s="74" t="s">
        <v>1267</v>
      </c>
    </row>
    <row r="2095" spans="1:7" x14ac:dyDescent="0.2">
      <c r="A2095" s="40">
        <v>8654</v>
      </c>
      <c r="B2095" s="39" t="s">
        <v>1126</v>
      </c>
      <c r="C2095" s="40" t="s">
        <v>2580</v>
      </c>
      <c r="D2095" s="74" t="s">
        <v>1269</v>
      </c>
      <c r="E2095" s="74" t="s">
        <v>1266</v>
      </c>
      <c r="F2095" s="74" t="s">
        <v>1268</v>
      </c>
      <c r="G2095" s="74" t="s">
        <v>1267</v>
      </c>
    </row>
    <row r="2096" spans="1:7" x14ac:dyDescent="0.2">
      <c r="A2096" s="40">
        <v>8661</v>
      </c>
      <c r="B2096" s="39" t="s">
        <v>1127</v>
      </c>
      <c r="C2096" s="40" t="s">
        <v>2580</v>
      </c>
      <c r="D2096" s="74" t="s">
        <v>1269</v>
      </c>
      <c r="E2096" s="74" t="s">
        <v>1266</v>
      </c>
      <c r="F2096" s="74" t="s">
        <v>1268</v>
      </c>
      <c r="G2096" s="74" t="s">
        <v>1268</v>
      </c>
    </row>
    <row r="2097" spans="1:7" x14ac:dyDescent="0.2">
      <c r="A2097" s="40">
        <v>8662</v>
      </c>
      <c r="B2097" s="39" t="s">
        <v>1128</v>
      </c>
      <c r="C2097" s="40" t="s">
        <v>2580</v>
      </c>
      <c r="D2097" s="74" t="s">
        <v>1269</v>
      </c>
      <c r="E2097" s="74" t="s">
        <v>1266</v>
      </c>
      <c r="F2097" s="74" t="s">
        <v>1268</v>
      </c>
      <c r="G2097" s="74" t="s">
        <v>1267</v>
      </c>
    </row>
    <row r="2098" spans="1:7" x14ac:dyDescent="0.2">
      <c r="A2098" s="40">
        <v>8663</v>
      </c>
      <c r="B2098" s="39" t="s">
        <v>1129</v>
      </c>
      <c r="C2098" s="40" t="s">
        <v>2580</v>
      </c>
      <c r="D2098" s="74" t="s">
        <v>1269</v>
      </c>
      <c r="E2098" s="74" t="s">
        <v>1266</v>
      </c>
      <c r="F2098" s="74" t="s">
        <v>1268</v>
      </c>
      <c r="G2098" s="74" t="s">
        <v>1268</v>
      </c>
    </row>
    <row r="2099" spans="1:7" x14ac:dyDescent="0.2">
      <c r="A2099" s="40">
        <v>8664</v>
      </c>
      <c r="B2099" s="39" t="s">
        <v>1130</v>
      </c>
      <c r="C2099" s="40" t="s">
        <v>2580</v>
      </c>
      <c r="D2099" s="74" t="s">
        <v>1269</v>
      </c>
      <c r="E2099" s="74" t="s">
        <v>1266</v>
      </c>
      <c r="F2099" s="74" t="s">
        <v>1268</v>
      </c>
      <c r="G2099" s="74" t="s">
        <v>1267</v>
      </c>
    </row>
    <row r="2100" spans="1:7" x14ac:dyDescent="0.2">
      <c r="A2100" s="40">
        <v>8665</v>
      </c>
      <c r="B2100" s="39" t="s">
        <v>1131</v>
      </c>
      <c r="C2100" s="40" t="s">
        <v>2580</v>
      </c>
      <c r="D2100" s="74" t="s">
        <v>1269</v>
      </c>
      <c r="E2100" s="74" t="s">
        <v>1266</v>
      </c>
      <c r="F2100" s="74" t="s">
        <v>1268</v>
      </c>
      <c r="G2100" s="74" t="s">
        <v>1268</v>
      </c>
    </row>
    <row r="2101" spans="1:7" x14ac:dyDescent="0.2">
      <c r="A2101" s="40">
        <v>8670</v>
      </c>
      <c r="B2101" s="39" t="s">
        <v>1132</v>
      </c>
      <c r="C2101" s="40" t="s">
        <v>2580</v>
      </c>
      <c r="D2101" s="74" t="s">
        <v>1269</v>
      </c>
      <c r="E2101" s="74" t="s">
        <v>1266</v>
      </c>
      <c r="F2101" s="74" t="s">
        <v>1268</v>
      </c>
      <c r="G2101" s="74" t="s">
        <v>1268</v>
      </c>
    </row>
    <row r="2102" spans="1:7" x14ac:dyDescent="0.2">
      <c r="A2102" s="40">
        <v>8671</v>
      </c>
      <c r="B2102" s="39" t="s">
        <v>1133</v>
      </c>
      <c r="C2102" s="40" t="s">
        <v>2580</v>
      </c>
      <c r="D2102" s="74" t="s">
        <v>1269</v>
      </c>
      <c r="E2102" s="74" t="s">
        <v>1266</v>
      </c>
      <c r="F2102" s="74" t="s">
        <v>1268</v>
      </c>
      <c r="G2102" s="74" t="s">
        <v>1267</v>
      </c>
    </row>
    <row r="2103" spans="1:7" x14ac:dyDescent="0.2">
      <c r="A2103" s="40">
        <v>8672</v>
      </c>
      <c r="B2103" s="39" t="s">
        <v>1134</v>
      </c>
      <c r="C2103" s="40" t="s">
        <v>2580</v>
      </c>
      <c r="D2103" s="74" t="s">
        <v>1269</v>
      </c>
      <c r="E2103" s="74" t="s">
        <v>1266</v>
      </c>
      <c r="F2103" s="74" t="s">
        <v>1268</v>
      </c>
      <c r="G2103" s="74" t="s">
        <v>1267</v>
      </c>
    </row>
    <row r="2104" spans="1:7" x14ac:dyDescent="0.2">
      <c r="A2104" s="40">
        <v>8673</v>
      </c>
      <c r="B2104" s="39" t="s">
        <v>1135</v>
      </c>
      <c r="C2104" s="40" t="s">
        <v>2580</v>
      </c>
      <c r="D2104" s="74" t="s">
        <v>1269</v>
      </c>
      <c r="E2104" s="74" t="s">
        <v>1266</v>
      </c>
      <c r="F2104" s="74" t="s">
        <v>1268</v>
      </c>
      <c r="G2104" s="74" t="s">
        <v>1268</v>
      </c>
    </row>
    <row r="2105" spans="1:7" x14ac:dyDescent="0.2">
      <c r="A2105" s="40">
        <v>8674</v>
      </c>
      <c r="B2105" s="39" t="s">
        <v>1136</v>
      </c>
      <c r="C2105" s="40" t="s">
        <v>2580</v>
      </c>
      <c r="D2105" s="74" t="s">
        <v>1269</v>
      </c>
      <c r="E2105" s="74" t="s">
        <v>1266</v>
      </c>
      <c r="F2105" s="74" t="s">
        <v>1268</v>
      </c>
      <c r="G2105" s="74" t="s">
        <v>1268</v>
      </c>
    </row>
    <row r="2106" spans="1:7" x14ac:dyDescent="0.2">
      <c r="A2106" s="40">
        <v>8680</v>
      </c>
      <c r="B2106" s="39" t="s">
        <v>1137</v>
      </c>
      <c r="C2106" s="40" t="s">
        <v>2580</v>
      </c>
      <c r="D2106" s="74" t="s">
        <v>1269</v>
      </c>
      <c r="E2106" s="74" t="s">
        <v>1266</v>
      </c>
      <c r="F2106" s="74" t="s">
        <v>1268</v>
      </c>
      <c r="G2106" s="74" t="s">
        <v>1268</v>
      </c>
    </row>
    <row r="2107" spans="1:7" x14ac:dyDescent="0.2">
      <c r="A2107" s="40">
        <v>8682</v>
      </c>
      <c r="B2107" s="39" t="s">
        <v>1138</v>
      </c>
      <c r="C2107" s="40" t="s">
        <v>2580</v>
      </c>
      <c r="D2107" s="74" t="s">
        <v>1269</v>
      </c>
      <c r="E2107" s="74" t="s">
        <v>1266</v>
      </c>
      <c r="F2107" s="74" t="s">
        <v>1268</v>
      </c>
      <c r="G2107" s="74" t="s">
        <v>1267</v>
      </c>
    </row>
    <row r="2108" spans="1:7" x14ac:dyDescent="0.2">
      <c r="A2108" s="40">
        <v>8684</v>
      </c>
      <c r="B2108" s="39" t="s">
        <v>1139</v>
      </c>
      <c r="C2108" s="40" t="s">
        <v>2580</v>
      </c>
      <c r="D2108" s="74" t="s">
        <v>1269</v>
      </c>
      <c r="E2108" s="74" t="s">
        <v>1266</v>
      </c>
      <c r="F2108" s="74" t="s">
        <v>1268</v>
      </c>
      <c r="G2108" s="74" t="s">
        <v>1267</v>
      </c>
    </row>
    <row r="2109" spans="1:7" x14ac:dyDescent="0.2">
      <c r="A2109" s="40">
        <v>8685</v>
      </c>
      <c r="B2109" s="39" t="s">
        <v>1140</v>
      </c>
      <c r="C2109" s="40" t="s">
        <v>2580</v>
      </c>
      <c r="D2109" s="74" t="s">
        <v>1269</v>
      </c>
      <c r="E2109" s="74" t="s">
        <v>1266</v>
      </c>
      <c r="F2109" s="74" t="s">
        <v>1268</v>
      </c>
      <c r="G2109" s="74" t="s">
        <v>1267</v>
      </c>
    </row>
    <row r="2110" spans="1:7" x14ac:dyDescent="0.2">
      <c r="A2110" s="40">
        <v>8691</v>
      </c>
      <c r="B2110" s="39" t="s">
        <v>1141</v>
      </c>
      <c r="C2110" s="40" t="s">
        <v>2580</v>
      </c>
      <c r="D2110" s="74" t="s">
        <v>1269</v>
      </c>
      <c r="E2110" s="74" t="s">
        <v>1266</v>
      </c>
      <c r="F2110" s="74" t="s">
        <v>1268</v>
      </c>
      <c r="G2110" s="74" t="s">
        <v>1267</v>
      </c>
    </row>
    <row r="2111" spans="1:7" x14ac:dyDescent="0.2">
      <c r="A2111" s="40">
        <v>8692</v>
      </c>
      <c r="B2111" s="39" t="s">
        <v>1142</v>
      </c>
      <c r="C2111" s="40" t="s">
        <v>2580</v>
      </c>
      <c r="D2111" s="74" t="s">
        <v>1269</v>
      </c>
      <c r="E2111" s="74" t="s">
        <v>1266</v>
      </c>
      <c r="F2111" s="74" t="s">
        <v>1268</v>
      </c>
      <c r="G2111" s="74" t="s">
        <v>1268</v>
      </c>
    </row>
    <row r="2112" spans="1:7" x14ac:dyDescent="0.2">
      <c r="A2112" s="40">
        <v>8693</v>
      </c>
      <c r="B2112" s="39" t="s">
        <v>1143</v>
      </c>
      <c r="C2112" s="40" t="s">
        <v>2580</v>
      </c>
      <c r="D2112" s="74" t="s">
        <v>1269</v>
      </c>
      <c r="E2112" s="74" t="s">
        <v>1266</v>
      </c>
      <c r="F2112" s="74" t="s">
        <v>1268</v>
      </c>
      <c r="G2112" s="74" t="s">
        <v>1267</v>
      </c>
    </row>
    <row r="2113" spans="1:7" x14ac:dyDescent="0.2">
      <c r="A2113" s="40">
        <v>8694</v>
      </c>
      <c r="B2113" s="39" t="s">
        <v>1144</v>
      </c>
      <c r="C2113" s="40" t="s">
        <v>2580</v>
      </c>
      <c r="D2113" s="74" t="s">
        <v>1269</v>
      </c>
      <c r="E2113" s="74" t="s">
        <v>1266</v>
      </c>
      <c r="F2113" s="74" t="s">
        <v>1268</v>
      </c>
      <c r="G2113" s="74" t="s">
        <v>1267</v>
      </c>
    </row>
    <row r="2114" spans="1:7" x14ac:dyDescent="0.2">
      <c r="A2114" s="40">
        <v>8700</v>
      </c>
      <c r="B2114" s="39" t="s">
        <v>208</v>
      </c>
      <c r="C2114" s="40" t="s">
        <v>2580</v>
      </c>
      <c r="D2114" s="74" t="s">
        <v>1269</v>
      </c>
      <c r="E2114" s="74" t="s">
        <v>1266</v>
      </c>
      <c r="F2114" s="74" t="s">
        <v>1268</v>
      </c>
      <c r="G2114" s="74" t="s">
        <v>1268</v>
      </c>
    </row>
    <row r="2115" spans="1:7" x14ac:dyDescent="0.2">
      <c r="A2115" s="40">
        <v>8701</v>
      </c>
      <c r="B2115" s="39" t="s">
        <v>208</v>
      </c>
      <c r="C2115" s="40" t="s">
        <v>2580</v>
      </c>
      <c r="D2115" s="74" t="s">
        <v>1271</v>
      </c>
      <c r="E2115" s="74" t="s">
        <v>1266</v>
      </c>
      <c r="F2115" s="74" t="s">
        <v>1267</v>
      </c>
      <c r="G2115" s="74" t="s">
        <v>1268</v>
      </c>
    </row>
    <row r="2116" spans="1:7" x14ac:dyDescent="0.2">
      <c r="A2116" s="40">
        <v>8704</v>
      </c>
      <c r="B2116" s="39" t="s">
        <v>208</v>
      </c>
      <c r="C2116" s="40" t="s">
        <v>2580</v>
      </c>
      <c r="D2116" s="74" t="s">
        <v>1271</v>
      </c>
      <c r="E2116" s="74" t="s">
        <v>1266</v>
      </c>
      <c r="F2116" s="74" t="s">
        <v>1267</v>
      </c>
      <c r="G2116" s="74" t="s">
        <v>1268</v>
      </c>
    </row>
    <row r="2117" spans="1:7" x14ac:dyDescent="0.2">
      <c r="A2117" s="40">
        <v>8707</v>
      </c>
      <c r="B2117" s="39" t="s">
        <v>208</v>
      </c>
      <c r="C2117" s="40" t="s">
        <v>2580</v>
      </c>
      <c r="D2117" s="74" t="s">
        <v>1271</v>
      </c>
      <c r="E2117" s="74" t="s">
        <v>1266</v>
      </c>
      <c r="F2117" s="74" t="s">
        <v>1267</v>
      </c>
      <c r="G2117" s="74" t="s">
        <v>1268</v>
      </c>
    </row>
    <row r="2118" spans="1:7" x14ac:dyDescent="0.2">
      <c r="A2118" s="40">
        <v>8712</v>
      </c>
      <c r="B2118" s="39" t="s">
        <v>1145</v>
      </c>
      <c r="C2118" s="40" t="s">
        <v>2580</v>
      </c>
      <c r="D2118" s="74" t="s">
        <v>1269</v>
      </c>
      <c r="E2118" s="74" t="s">
        <v>1266</v>
      </c>
      <c r="F2118" s="74" t="s">
        <v>1268</v>
      </c>
      <c r="G2118" s="74" t="s">
        <v>1268</v>
      </c>
    </row>
    <row r="2119" spans="1:7" x14ac:dyDescent="0.2">
      <c r="A2119" s="40">
        <v>8713</v>
      </c>
      <c r="B2119" s="39" t="s">
        <v>1146</v>
      </c>
      <c r="C2119" s="40" t="s">
        <v>2580</v>
      </c>
      <c r="D2119" s="74" t="s">
        <v>1269</v>
      </c>
      <c r="E2119" s="74" t="s">
        <v>1266</v>
      </c>
      <c r="F2119" s="74" t="s">
        <v>1268</v>
      </c>
      <c r="G2119" s="74" t="s">
        <v>1268</v>
      </c>
    </row>
    <row r="2120" spans="1:7" x14ac:dyDescent="0.2">
      <c r="A2120" s="40">
        <v>8714</v>
      </c>
      <c r="B2120" s="39" t="s">
        <v>1147</v>
      </c>
      <c r="C2120" s="40" t="s">
        <v>2580</v>
      </c>
      <c r="D2120" s="74" t="s">
        <v>1269</v>
      </c>
      <c r="E2120" s="74" t="s">
        <v>1266</v>
      </c>
      <c r="F2120" s="74" t="s">
        <v>1268</v>
      </c>
      <c r="G2120" s="74" t="s">
        <v>1268</v>
      </c>
    </row>
    <row r="2121" spans="1:7" x14ac:dyDescent="0.2">
      <c r="A2121" s="40">
        <v>8715</v>
      </c>
      <c r="B2121" s="39" t="s">
        <v>1148</v>
      </c>
      <c r="C2121" s="40" t="s">
        <v>2580</v>
      </c>
      <c r="D2121" s="74" t="s">
        <v>1269</v>
      </c>
      <c r="E2121" s="74" t="s">
        <v>1266</v>
      </c>
      <c r="F2121" s="74" t="s">
        <v>1268</v>
      </c>
      <c r="G2121" s="74" t="s">
        <v>1267</v>
      </c>
    </row>
    <row r="2122" spans="1:7" x14ac:dyDescent="0.2">
      <c r="A2122" s="40">
        <v>8720</v>
      </c>
      <c r="B2122" s="39" t="s">
        <v>1149</v>
      </c>
      <c r="C2122" s="40" t="s">
        <v>2580</v>
      </c>
      <c r="D2122" s="74" t="s">
        <v>1269</v>
      </c>
      <c r="E2122" s="74" t="s">
        <v>1266</v>
      </c>
      <c r="F2122" s="74" t="s">
        <v>1268</v>
      </c>
      <c r="G2122" s="74" t="s">
        <v>1268</v>
      </c>
    </row>
    <row r="2123" spans="1:7" x14ac:dyDescent="0.2">
      <c r="A2123" s="40">
        <v>8724</v>
      </c>
      <c r="B2123" s="39" t="s">
        <v>1150</v>
      </c>
      <c r="C2123" s="40" t="s">
        <v>2580</v>
      </c>
      <c r="D2123" s="74" t="s">
        <v>1269</v>
      </c>
      <c r="E2123" s="74" t="s">
        <v>1266</v>
      </c>
      <c r="F2123" s="74" t="s">
        <v>1268</v>
      </c>
      <c r="G2123" s="74" t="s">
        <v>1268</v>
      </c>
    </row>
    <row r="2124" spans="1:7" x14ac:dyDescent="0.2">
      <c r="A2124" s="40">
        <v>8731</v>
      </c>
      <c r="B2124" s="39" t="s">
        <v>1151</v>
      </c>
      <c r="C2124" s="40" t="s">
        <v>2580</v>
      </c>
      <c r="D2124" s="74" t="s">
        <v>1269</v>
      </c>
      <c r="E2124" s="74" t="s">
        <v>1266</v>
      </c>
      <c r="F2124" s="74" t="s">
        <v>1268</v>
      </c>
      <c r="G2124" s="74" t="s">
        <v>1267</v>
      </c>
    </row>
    <row r="2125" spans="1:7" x14ac:dyDescent="0.2">
      <c r="A2125" s="40">
        <v>8732</v>
      </c>
      <c r="B2125" s="39" t="s">
        <v>1152</v>
      </c>
      <c r="C2125" s="40" t="s">
        <v>2580</v>
      </c>
      <c r="D2125" s="74" t="s">
        <v>1269</v>
      </c>
      <c r="E2125" s="74" t="s">
        <v>1266</v>
      </c>
      <c r="F2125" s="74" t="s">
        <v>1268</v>
      </c>
      <c r="G2125" s="74" t="s">
        <v>1267</v>
      </c>
    </row>
    <row r="2126" spans="1:7" x14ac:dyDescent="0.2">
      <c r="A2126" s="40">
        <v>8733</v>
      </c>
      <c r="B2126" s="39" t="s">
        <v>1153</v>
      </c>
      <c r="C2126" s="40" t="s">
        <v>2580</v>
      </c>
      <c r="D2126" s="74" t="s">
        <v>1269</v>
      </c>
      <c r="E2126" s="74" t="s">
        <v>1266</v>
      </c>
      <c r="F2126" s="74" t="s">
        <v>1268</v>
      </c>
      <c r="G2126" s="74" t="s">
        <v>1267</v>
      </c>
    </row>
    <row r="2127" spans="1:7" x14ac:dyDescent="0.2">
      <c r="A2127" s="40">
        <v>8734</v>
      </c>
      <c r="B2127" s="39" t="s">
        <v>1154</v>
      </c>
      <c r="C2127" s="40" t="s">
        <v>2580</v>
      </c>
      <c r="D2127" s="74" t="s">
        <v>1269</v>
      </c>
      <c r="E2127" s="74" t="s">
        <v>1266</v>
      </c>
      <c r="F2127" s="74" t="s">
        <v>1268</v>
      </c>
      <c r="G2127" s="74" t="s">
        <v>1267</v>
      </c>
    </row>
    <row r="2128" spans="1:7" x14ac:dyDescent="0.2">
      <c r="A2128" s="40">
        <v>8740</v>
      </c>
      <c r="B2128" s="39" t="s">
        <v>1155</v>
      </c>
      <c r="C2128" s="40" t="s">
        <v>2580</v>
      </c>
      <c r="D2128" s="74" t="s">
        <v>1269</v>
      </c>
      <c r="E2128" s="74" t="s">
        <v>1266</v>
      </c>
      <c r="F2128" s="74" t="s">
        <v>1268</v>
      </c>
      <c r="G2128" s="74" t="s">
        <v>1268</v>
      </c>
    </row>
    <row r="2129" spans="1:7" x14ac:dyDescent="0.2">
      <c r="A2129" s="40">
        <v>8741</v>
      </c>
      <c r="B2129" s="39" t="s">
        <v>1156</v>
      </c>
      <c r="C2129" s="40" t="s">
        <v>2580</v>
      </c>
      <c r="D2129" s="74" t="s">
        <v>1269</v>
      </c>
      <c r="E2129" s="74" t="s">
        <v>1266</v>
      </c>
      <c r="F2129" s="74" t="s">
        <v>1268</v>
      </c>
      <c r="G2129" s="74" t="s">
        <v>1268</v>
      </c>
    </row>
    <row r="2130" spans="1:7" x14ac:dyDescent="0.2">
      <c r="A2130" s="40">
        <v>8742</v>
      </c>
      <c r="B2130" s="39" t="s">
        <v>1157</v>
      </c>
      <c r="C2130" s="40" t="s">
        <v>2580</v>
      </c>
      <c r="D2130" s="74" t="s">
        <v>1269</v>
      </c>
      <c r="E2130" s="74" t="s">
        <v>1266</v>
      </c>
      <c r="F2130" s="74" t="s">
        <v>1268</v>
      </c>
      <c r="G2130" s="74" t="s">
        <v>1268</v>
      </c>
    </row>
    <row r="2131" spans="1:7" x14ac:dyDescent="0.2">
      <c r="A2131" s="40">
        <v>8750</v>
      </c>
      <c r="B2131" s="39" t="s">
        <v>1158</v>
      </c>
      <c r="C2131" s="40" t="s">
        <v>2580</v>
      </c>
      <c r="D2131" s="74" t="s">
        <v>1269</v>
      </c>
      <c r="E2131" s="74" t="s">
        <v>1266</v>
      </c>
      <c r="F2131" s="74" t="s">
        <v>1268</v>
      </c>
      <c r="G2131" s="74" t="s">
        <v>1268</v>
      </c>
    </row>
    <row r="2132" spans="1:7" x14ac:dyDescent="0.2">
      <c r="A2132" s="40">
        <v>8752</v>
      </c>
      <c r="B2132" s="39" t="s">
        <v>1159</v>
      </c>
      <c r="C2132" s="40" t="s">
        <v>2580</v>
      </c>
      <c r="D2132" s="74" t="s">
        <v>1271</v>
      </c>
      <c r="E2132" s="74" t="s">
        <v>1266</v>
      </c>
      <c r="F2132" s="74" t="s">
        <v>1267</v>
      </c>
      <c r="G2132" s="74" t="s">
        <v>1268</v>
      </c>
    </row>
    <row r="2133" spans="1:7" x14ac:dyDescent="0.2">
      <c r="A2133" s="40">
        <v>8753</v>
      </c>
      <c r="B2133" s="39" t="s">
        <v>1160</v>
      </c>
      <c r="C2133" s="40" t="s">
        <v>2580</v>
      </c>
      <c r="D2133" s="74" t="s">
        <v>1269</v>
      </c>
      <c r="E2133" s="74" t="s">
        <v>1266</v>
      </c>
      <c r="F2133" s="74" t="s">
        <v>1268</v>
      </c>
      <c r="G2133" s="74" t="s">
        <v>1268</v>
      </c>
    </row>
    <row r="2134" spans="1:7" x14ac:dyDescent="0.2">
      <c r="A2134" s="40">
        <v>8754</v>
      </c>
      <c r="B2134" s="39" t="s">
        <v>1161</v>
      </c>
      <c r="C2134" s="40" t="s">
        <v>2580</v>
      </c>
      <c r="D2134" s="74" t="s">
        <v>1269</v>
      </c>
      <c r="E2134" s="74" t="s">
        <v>1266</v>
      </c>
      <c r="F2134" s="74" t="s">
        <v>1268</v>
      </c>
      <c r="G2134" s="74" t="s">
        <v>1267</v>
      </c>
    </row>
    <row r="2135" spans="1:7" x14ac:dyDescent="0.2">
      <c r="A2135" s="40">
        <v>8755</v>
      </c>
      <c r="B2135" s="39" t="s">
        <v>1162</v>
      </c>
      <c r="C2135" s="40" t="s">
        <v>2580</v>
      </c>
      <c r="D2135" s="74" t="s">
        <v>1269</v>
      </c>
      <c r="E2135" s="74" t="s">
        <v>1266</v>
      </c>
      <c r="F2135" s="74" t="s">
        <v>1268</v>
      </c>
      <c r="G2135" s="74" t="s">
        <v>1267</v>
      </c>
    </row>
    <row r="2136" spans="1:7" x14ac:dyDescent="0.2">
      <c r="A2136" s="40">
        <v>8756</v>
      </c>
      <c r="B2136" s="39" t="s">
        <v>1163</v>
      </c>
      <c r="C2136" s="40" t="s">
        <v>2580</v>
      </c>
      <c r="D2136" s="74" t="s">
        <v>1269</v>
      </c>
      <c r="E2136" s="74" t="s">
        <v>1266</v>
      </c>
      <c r="F2136" s="74" t="s">
        <v>1268</v>
      </c>
      <c r="G2136" s="74" t="s">
        <v>1267</v>
      </c>
    </row>
    <row r="2137" spans="1:7" x14ac:dyDescent="0.2">
      <c r="A2137" s="40">
        <v>8761</v>
      </c>
      <c r="B2137" s="39" t="s">
        <v>1164</v>
      </c>
      <c r="C2137" s="40" t="s">
        <v>2580</v>
      </c>
      <c r="D2137" s="74" t="s">
        <v>1269</v>
      </c>
      <c r="E2137" s="74" t="s">
        <v>1266</v>
      </c>
      <c r="F2137" s="74" t="s">
        <v>1268</v>
      </c>
      <c r="G2137" s="74" t="s">
        <v>1268</v>
      </c>
    </row>
    <row r="2138" spans="1:7" x14ac:dyDescent="0.2">
      <c r="A2138" s="40">
        <v>8762</v>
      </c>
      <c r="B2138" s="39" t="s">
        <v>1165</v>
      </c>
      <c r="C2138" s="40" t="s">
        <v>2580</v>
      </c>
      <c r="D2138" s="74" t="s">
        <v>1269</v>
      </c>
      <c r="E2138" s="74" t="s">
        <v>1266</v>
      </c>
      <c r="F2138" s="74" t="s">
        <v>1268</v>
      </c>
      <c r="G2138" s="74" t="s">
        <v>1268</v>
      </c>
    </row>
    <row r="2139" spans="1:7" x14ac:dyDescent="0.2">
      <c r="A2139" s="40">
        <v>8763</v>
      </c>
      <c r="B2139" s="39" t="s">
        <v>1166</v>
      </c>
      <c r="C2139" s="40" t="s">
        <v>2580</v>
      </c>
      <c r="D2139" s="74" t="s">
        <v>1269</v>
      </c>
      <c r="E2139" s="74" t="s">
        <v>1266</v>
      </c>
      <c r="F2139" s="74" t="s">
        <v>1268</v>
      </c>
      <c r="G2139" s="74" t="s">
        <v>1268</v>
      </c>
    </row>
    <row r="2140" spans="1:7" x14ac:dyDescent="0.2">
      <c r="A2140" s="40">
        <v>8764</v>
      </c>
      <c r="B2140" s="39" t="s">
        <v>1167</v>
      </c>
      <c r="C2140" s="40" t="s">
        <v>2580</v>
      </c>
      <c r="D2140" s="74" t="s">
        <v>1269</v>
      </c>
      <c r="E2140" s="74" t="s">
        <v>1266</v>
      </c>
      <c r="F2140" s="74" t="s">
        <v>1268</v>
      </c>
      <c r="G2140" s="74" t="s">
        <v>1267</v>
      </c>
    </row>
    <row r="2141" spans="1:7" x14ac:dyDescent="0.2">
      <c r="A2141" s="40">
        <v>8765</v>
      </c>
      <c r="B2141" s="39" t="s">
        <v>1168</v>
      </c>
      <c r="C2141" s="40" t="s">
        <v>2580</v>
      </c>
      <c r="D2141" s="74" t="s">
        <v>1269</v>
      </c>
      <c r="E2141" s="74" t="s">
        <v>1266</v>
      </c>
      <c r="F2141" s="74" t="s">
        <v>1268</v>
      </c>
      <c r="G2141" s="74" t="s">
        <v>1267</v>
      </c>
    </row>
    <row r="2142" spans="1:7" x14ac:dyDescent="0.2">
      <c r="A2142" s="40">
        <v>8770</v>
      </c>
      <c r="B2142" s="39" t="s">
        <v>1169</v>
      </c>
      <c r="C2142" s="40" t="s">
        <v>2580</v>
      </c>
      <c r="D2142" s="74" t="s">
        <v>1269</v>
      </c>
      <c r="E2142" s="74" t="s">
        <v>1266</v>
      </c>
      <c r="F2142" s="74" t="s">
        <v>1268</v>
      </c>
      <c r="G2142" s="74" t="s">
        <v>1268</v>
      </c>
    </row>
    <row r="2143" spans="1:7" x14ac:dyDescent="0.2">
      <c r="A2143" s="40">
        <v>8772</v>
      </c>
      <c r="B2143" s="39" t="s">
        <v>1170</v>
      </c>
      <c r="C2143" s="40" t="s">
        <v>2580</v>
      </c>
      <c r="D2143" s="74" t="s">
        <v>1269</v>
      </c>
      <c r="E2143" s="74" t="s">
        <v>1266</v>
      </c>
      <c r="F2143" s="74" t="s">
        <v>1268</v>
      </c>
      <c r="G2143" s="74" t="s">
        <v>1267</v>
      </c>
    </row>
    <row r="2144" spans="1:7" x14ac:dyDescent="0.2">
      <c r="A2144" s="40">
        <v>8773</v>
      </c>
      <c r="B2144" s="39" t="s">
        <v>1171</v>
      </c>
      <c r="C2144" s="40" t="s">
        <v>2580</v>
      </c>
      <c r="D2144" s="74" t="s">
        <v>1269</v>
      </c>
      <c r="E2144" s="74" t="s">
        <v>1266</v>
      </c>
      <c r="F2144" s="74" t="s">
        <v>1268</v>
      </c>
      <c r="G2144" s="74" t="s">
        <v>1268</v>
      </c>
    </row>
    <row r="2145" spans="1:7" x14ac:dyDescent="0.2">
      <c r="A2145" s="40">
        <v>8774</v>
      </c>
      <c r="B2145" s="39" t="s">
        <v>1172</v>
      </c>
      <c r="C2145" s="40" t="s">
        <v>2580</v>
      </c>
      <c r="D2145" s="74" t="s">
        <v>1269</v>
      </c>
      <c r="E2145" s="74" t="s">
        <v>1266</v>
      </c>
      <c r="F2145" s="74" t="s">
        <v>1268</v>
      </c>
      <c r="G2145" s="74" t="s">
        <v>1267</v>
      </c>
    </row>
    <row r="2146" spans="1:7" x14ac:dyDescent="0.2">
      <c r="A2146" s="40">
        <v>8775</v>
      </c>
      <c r="B2146" s="39" t="s">
        <v>1173</v>
      </c>
      <c r="C2146" s="40" t="s">
        <v>2580</v>
      </c>
      <c r="D2146" s="74" t="s">
        <v>1269</v>
      </c>
      <c r="E2146" s="74" t="s">
        <v>1266</v>
      </c>
      <c r="F2146" s="74" t="s">
        <v>1268</v>
      </c>
      <c r="G2146" s="74" t="s">
        <v>1268</v>
      </c>
    </row>
    <row r="2147" spans="1:7" x14ac:dyDescent="0.2">
      <c r="A2147" s="40">
        <v>8781</v>
      </c>
      <c r="B2147" s="39" t="s">
        <v>1174</v>
      </c>
      <c r="C2147" s="40" t="s">
        <v>2580</v>
      </c>
      <c r="D2147" s="74" t="s">
        <v>1269</v>
      </c>
      <c r="E2147" s="74" t="s">
        <v>1266</v>
      </c>
      <c r="F2147" s="74" t="s">
        <v>1268</v>
      </c>
      <c r="G2147" s="74" t="s">
        <v>1267</v>
      </c>
    </row>
    <row r="2148" spans="1:7" x14ac:dyDescent="0.2">
      <c r="A2148" s="40">
        <v>8782</v>
      </c>
      <c r="B2148" s="39" t="s">
        <v>1175</v>
      </c>
      <c r="C2148" s="40" t="s">
        <v>2580</v>
      </c>
      <c r="D2148" s="74" t="s">
        <v>1269</v>
      </c>
      <c r="E2148" s="74" t="s">
        <v>1266</v>
      </c>
      <c r="F2148" s="74" t="s">
        <v>1268</v>
      </c>
      <c r="G2148" s="74" t="s">
        <v>1267</v>
      </c>
    </row>
    <row r="2149" spans="1:7" x14ac:dyDescent="0.2">
      <c r="A2149" s="40">
        <v>8783</v>
      </c>
      <c r="B2149" s="39" t="s">
        <v>1176</v>
      </c>
      <c r="C2149" s="40" t="s">
        <v>2580</v>
      </c>
      <c r="D2149" s="74" t="s">
        <v>1269</v>
      </c>
      <c r="E2149" s="74" t="s">
        <v>1266</v>
      </c>
      <c r="F2149" s="74" t="s">
        <v>1268</v>
      </c>
      <c r="G2149" s="74" t="s">
        <v>1267</v>
      </c>
    </row>
    <row r="2150" spans="1:7" x14ac:dyDescent="0.2">
      <c r="A2150" s="40">
        <v>8784</v>
      </c>
      <c r="B2150" s="39" t="s">
        <v>1177</v>
      </c>
      <c r="C2150" s="40" t="s">
        <v>2580</v>
      </c>
      <c r="D2150" s="74" t="s">
        <v>1269</v>
      </c>
      <c r="E2150" s="74" t="s">
        <v>1266</v>
      </c>
      <c r="F2150" s="74" t="s">
        <v>1268</v>
      </c>
      <c r="G2150" s="74" t="s">
        <v>1268</v>
      </c>
    </row>
    <row r="2151" spans="1:7" x14ac:dyDescent="0.2">
      <c r="A2151" s="40">
        <v>8785</v>
      </c>
      <c r="B2151" s="39" t="s">
        <v>1178</v>
      </c>
      <c r="C2151" s="40" t="s">
        <v>2580</v>
      </c>
      <c r="D2151" s="74" t="s">
        <v>1269</v>
      </c>
      <c r="E2151" s="74" t="s">
        <v>1266</v>
      </c>
      <c r="F2151" s="74" t="s">
        <v>1268</v>
      </c>
      <c r="G2151" s="74" t="s">
        <v>1267</v>
      </c>
    </row>
    <row r="2152" spans="1:7" x14ac:dyDescent="0.2">
      <c r="A2152" s="40">
        <v>8786</v>
      </c>
      <c r="B2152" s="39" t="s">
        <v>1179</v>
      </c>
      <c r="C2152" s="40" t="s">
        <v>2580</v>
      </c>
      <c r="D2152" s="74" t="s">
        <v>1269</v>
      </c>
      <c r="E2152" s="74" t="s">
        <v>1266</v>
      </c>
      <c r="F2152" s="74" t="s">
        <v>1268</v>
      </c>
      <c r="G2152" s="74" t="s">
        <v>1268</v>
      </c>
    </row>
    <row r="2153" spans="1:7" x14ac:dyDescent="0.2">
      <c r="A2153" s="40">
        <v>8790</v>
      </c>
      <c r="B2153" s="39" t="s">
        <v>143</v>
      </c>
      <c r="C2153" s="40" t="s">
        <v>2580</v>
      </c>
      <c r="D2153" s="74" t="s">
        <v>1269</v>
      </c>
      <c r="E2153" s="74" t="s">
        <v>1266</v>
      </c>
      <c r="F2153" s="74" t="s">
        <v>1268</v>
      </c>
      <c r="G2153" s="74" t="s">
        <v>1268</v>
      </c>
    </row>
    <row r="2154" spans="1:7" x14ac:dyDescent="0.2">
      <c r="A2154" s="40">
        <v>8792</v>
      </c>
      <c r="B2154" s="39" t="s">
        <v>1180</v>
      </c>
      <c r="C2154" s="40" t="s">
        <v>2580</v>
      </c>
      <c r="D2154" s="74" t="s">
        <v>1269</v>
      </c>
      <c r="E2154" s="74" t="s">
        <v>1266</v>
      </c>
      <c r="F2154" s="74" t="s">
        <v>1268</v>
      </c>
      <c r="G2154" s="74" t="s">
        <v>1267</v>
      </c>
    </row>
    <row r="2155" spans="1:7" x14ac:dyDescent="0.2">
      <c r="A2155" s="40">
        <v>8793</v>
      </c>
      <c r="B2155" s="39" t="s">
        <v>1181</v>
      </c>
      <c r="C2155" s="40" t="s">
        <v>2580</v>
      </c>
      <c r="D2155" s="74" t="s">
        <v>1269</v>
      </c>
      <c r="E2155" s="74" t="s">
        <v>1266</v>
      </c>
      <c r="F2155" s="74" t="s">
        <v>1268</v>
      </c>
      <c r="G2155" s="74" t="s">
        <v>1268</v>
      </c>
    </row>
    <row r="2156" spans="1:7" x14ac:dyDescent="0.2">
      <c r="A2156" s="40">
        <v>8794</v>
      </c>
      <c r="B2156" s="39" t="s">
        <v>1182</v>
      </c>
      <c r="C2156" s="40" t="s">
        <v>2580</v>
      </c>
      <c r="D2156" s="74" t="s">
        <v>1269</v>
      </c>
      <c r="E2156" s="74" t="s">
        <v>1266</v>
      </c>
      <c r="F2156" s="74" t="s">
        <v>1268</v>
      </c>
      <c r="G2156" s="74" t="s">
        <v>1267</v>
      </c>
    </row>
    <row r="2157" spans="1:7" x14ac:dyDescent="0.2">
      <c r="A2157" s="40">
        <v>8795</v>
      </c>
      <c r="B2157" s="39" t="s">
        <v>1183</v>
      </c>
      <c r="C2157" s="40" t="s">
        <v>2580</v>
      </c>
      <c r="D2157" s="74" t="s">
        <v>1269</v>
      </c>
      <c r="E2157" s="74" t="s">
        <v>1266</v>
      </c>
      <c r="F2157" s="74" t="s">
        <v>1268</v>
      </c>
      <c r="G2157" s="74" t="s">
        <v>1267</v>
      </c>
    </row>
    <row r="2158" spans="1:7" x14ac:dyDescent="0.2">
      <c r="A2158" s="40">
        <v>8800</v>
      </c>
      <c r="B2158" s="39" t="s">
        <v>1184</v>
      </c>
      <c r="C2158" s="40" t="s">
        <v>2580</v>
      </c>
      <c r="D2158" s="74" t="s">
        <v>1269</v>
      </c>
      <c r="E2158" s="74" t="s">
        <v>1266</v>
      </c>
      <c r="F2158" s="74" t="s">
        <v>1268</v>
      </c>
      <c r="G2158" s="74" t="s">
        <v>1268</v>
      </c>
    </row>
    <row r="2159" spans="1:7" x14ac:dyDescent="0.2">
      <c r="A2159" s="40">
        <v>8811</v>
      </c>
      <c r="B2159" s="39" t="s">
        <v>1185</v>
      </c>
      <c r="C2159" s="40" t="s">
        <v>2580</v>
      </c>
      <c r="D2159" s="74" t="s">
        <v>1269</v>
      </c>
      <c r="E2159" s="74" t="s">
        <v>1266</v>
      </c>
      <c r="F2159" s="74" t="s">
        <v>1268</v>
      </c>
      <c r="G2159" s="74" t="s">
        <v>1268</v>
      </c>
    </row>
    <row r="2160" spans="1:7" x14ac:dyDescent="0.2">
      <c r="A2160" s="40">
        <v>8812</v>
      </c>
      <c r="B2160" s="39" t="s">
        <v>1186</v>
      </c>
      <c r="C2160" s="40" t="s">
        <v>2580</v>
      </c>
      <c r="D2160" s="74" t="s">
        <v>1269</v>
      </c>
      <c r="E2160" s="74" t="s">
        <v>1266</v>
      </c>
      <c r="F2160" s="74" t="s">
        <v>1268</v>
      </c>
      <c r="G2160" s="74" t="s">
        <v>1267</v>
      </c>
    </row>
    <row r="2161" spans="1:7" x14ac:dyDescent="0.2">
      <c r="A2161" s="40">
        <v>8813</v>
      </c>
      <c r="B2161" s="39" t="s">
        <v>1187</v>
      </c>
      <c r="C2161" s="40" t="s">
        <v>2580</v>
      </c>
      <c r="D2161" s="74" t="s">
        <v>1269</v>
      </c>
      <c r="E2161" s="74" t="s">
        <v>1266</v>
      </c>
      <c r="F2161" s="74" t="s">
        <v>1268</v>
      </c>
      <c r="G2161" s="74" t="s">
        <v>1267</v>
      </c>
    </row>
    <row r="2162" spans="1:7" x14ac:dyDescent="0.2">
      <c r="A2162" s="40">
        <v>8820</v>
      </c>
      <c r="B2162" s="39" t="s">
        <v>1188</v>
      </c>
      <c r="C2162" s="40" t="s">
        <v>2580</v>
      </c>
      <c r="D2162" s="74" t="s">
        <v>1269</v>
      </c>
      <c r="E2162" s="74" t="s">
        <v>1266</v>
      </c>
      <c r="F2162" s="74" t="s">
        <v>1268</v>
      </c>
      <c r="G2162" s="74" t="s">
        <v>1268</v>
      </c>
    </row>
    <row r="2163" spans="1:7" x14ac:dyDescent="0.2">
      <c r="A2163" s="40">
        <v>8822</v>
      </c>
      <c r="B2163" s="39" t="s">
        <v>1189</v>
      </c>
      <c r="C2163" s="40" t="s">
        <v>2580</v>
      </c>
      <c r="D2163" s="74" t="s">
        <v>1269</v>
      </c>
      <c r="E2163" s="74" t="s">
        <v>1266</v>
      </c>
      <c r="F2163" s="74" t="s">
        <v>1268</v>
      </c>
      <c r="G2163" s="74" t="s">
        <v>1267</v>
      </c>
    </row>
    <row r="2164" spans="1:7" x14ac:dyDescent="0.2">
      <c r="A2164" s="40">
        <v>8831</v>
      </c>
      <c r="B2164" s="39" t="s">
        <v>1190</v>
      </c>
      <c r="C2164" s="40" t="s">
        <v>2580</v>
      </c>
      <c r="D2164" s="74" t="s">
        <v>1269</v>
      </c>
      <c r="E2164" s="74" t="s">
        <v>1266</v>
      </c>
      <c r="F2164" s="74" t="s">
        <v>1268</v>
      </c>
      <c r="G2164" s="74" t="s">
        <v>1267</v>
      </c>
    </row>
    <row r="2165" spans="1:7" x14ac:dyDescent="0.2">
      <c r="A2165" s="40">
        <v>8832</v>
      </c>
      <c r="B2165" s="39" t="s">
        <v>1191</v>
      </c>
      <c r="C2165" s="40" t="s">
        <v>2580</v>
      </c>
      <c r="D2165" s="74" t="s">
        <v>1269</v>
      </c>
      <c r="E2165" s="74" t="s">
        <v>1266</v>
      </c>
      <c r="F2165" s="74" t="s">
        <v>1268</v>
      </c>
      <c r="G2165" s="74" t="s">
        <v>1268</v>
      </c>
    </row>
    <row r="2166" spans="1:7" x14ac:dyDescent="0.2">
      <c r="A2166" s="40">
        <v>8833</v>
      </c>
      <c r="B2166" s="39" t="s">
        <v>1192</v>
      </c>
      <c r="C2166" s="40" t="s">
        <v>2580</v>
      </c>
      <c r="D2166" s="74" t="s">
        <v>1269</v>
      </c>
      <c r="E2166" s="74" t="s">
        <v>1266</v>
      </c>
      <c r="F2166" s="74" t="s">
        <v>1268</v>
      </c>
      <c r="G2166" s="74" t="s">
        <v>1267</v>
      </c>
    </row>
    <row r="2167" spans="1:7" x14ac:dyDescent="0.2">
      <c r="A2167" s="40">
        <v>8841</v>
      </c>
      <c r="B2167" s="39" t="s">
        <v>1193</v>
      </c>
      <c r="C2167" s="40" t="s">
        <v>2580</v>
      </c>
      <c r="D2167" s="74" t="s">
        <v>1269</v>
      </c>
      <c r="E2167" s="74" t="s">
        <v>1266</v>
      </c>
      <c r="F2167" s="74" t="s">
        <v>1268</v>
      </c>
      <c r="G2167" s="74" t="s">
        <v>1267</v>
      </c>
    </row>
    <row r="2168" spans="1:7" x14ac:dyDescent="0.2">
      <c r="A2168" s="40">
        <v>8842</v>
      </c>
      <c r="B2168" s="39" t="s">
        <v>1194</v>
      </c>
      <c r="C2168" s="40" t="s">
        <v>2580</v>
      </c>
      <c r="D2168" s="74" t="s">
        <v>1269</v>
      </c>
      <c r="E2168" s="74" t="s">
        <v>1266</v>
      </c>
      <c r="F2168" s="74" t="s">
        <v>1268</v>
      </c>
      <c r="G2168" s="74" t="s">
        <v>1268</v>
      </c>
    </row>
    <row r="2169" spans="1:7" x14ac:dyDescent="0.2">
      <c r="A2169" s="40">
        <v>8843</v>
      </c>
      <c r="B2169" s="39" t="s">
        <v>1195</v>
      </c>
      <c r="C2169" s="40" t="s">
        <v>2580</v>
      </c>
      <c r="D2169" s="74" t="s">
        <v>1269</v>
      </c>
      <c r="E2169" s="74" t="s">
        <v>1266</v>
      </c>
      <c r="F2169" s="74" t="s">
        <v>1268</v>
      </c>
      <c r="G2169" s="74" t="s">
        <v>1267</v>
      </c>
    </row>
    <row r="2170" spans="1:7" x14ac:dyDescent="0.2">
      <c r="A2170" s="40">
        <v>8844</v>
      </c>
      <c r="B2170" s="39" t="s">
        <v>1427</v>
      </c>
      <c r="C2170" s="40" t="s">
        <v>2580</v>
      </c>
      <c r="D2170" s="74" t="s">
        <v>1269</v>
      </c>
      <c r="E2170" s="74" t="s">
        <v>1266</v>
      </c>
      <c r="F2170" s="74" t="s">
        <v>1268</v>
      </c>
      <c r="G2170" s="74" t="s">
        <v>1267</v>
      </c>
    </row>
    <row r="2171" spans="1:7" x14ac:dyDescent="0.2">
      <c r="A2171" s="40">
        <v>8850</v>
      </c>
      <c r="B2171" s="39" t="s">
        <v>1428</v>
      </c>
      <c r="C2171" s="40" t="s">
        <v>2580</v>
      </c>
      <c r="D2171" s="74" t="s">
        <v>1269</v>
      </c>
      <c r="E2171" s="74" t="s">
        <v>1266</v>
      </c>
      <c r="F2171" s="74" t="s">
        <v>1268</v>
      </c>
      <c r="G2171" s="74" t="s">
        <v>1268</v>
      </c>
    </row>
    <row r="2172" spans="1:7" x14ac:dyDescent="0.2">
      <c r="A2172" s="40">
        <v>8852</v>
      </c>
      <c r="B2172" s="39" t="s">
        <v>1429</v>
      </c>
      <c r="C2172" s="40" t="s">
        <v>2580</v>
      </c>
      <c r="D2172" s="74" t="s">
        <v>1269</v>
      </c>
      <c r="E2172" s="74" t="s">
        <v>1266</v>
      </c>
      <c r="F2172" s="74" t="s">
        <v>1268</v>
      </c>
      <c r="G2172" s="74" t="s">
        <v>1267</v>
      </c>
    </row>
    <row r="2173" spans="1:7" x14ac:dyDescent="0.2">
      <c r="A2173" s="40">
        <v>8853</v>
      </c>
      <c r="B2173" s="39" t="s">
        <v>1430</v>
      </c>
      <c r="C2173" s="40" t="s">
        <v>2580</v>
      </c>
      <c r="D2173" s="74" t="s">
        <v>1269</v>
      </c>
      <c r="E2173" s="74" t="s">
        <v>1266</v>
      </c>
      <c r="F2173" s="74" t="s">
        <v>1268</v>
      </c>
      <c r="G2173" s="74" t="s">
        <v>1267</v>
      </c>
    </row>
    <row r="2174" spans="1:7" x14ac:dyDescent="0.2">
      <c r="A2174" s="40">
        <v>8854</v>
      </c>
      <c r="B2174" s="39" t="s">
        <v>1431</v>
      </c>
      <c r="C2174" s="40" t="s">
        <v>2580</v>
      </c>
      <c r="D2174" s="74" t="s">
        <v>1269</v>
      </c>
      <c r="E2174" s="74" t="s">
        <v>1266</v>
      </c>
      <c r="F2174" s="74" t="s">
        <v>1268</v>
      </c>
      <c r="G2174" s="74" t="s">
        <v>1267</v>
      </c>
    </row>
    <row r="2175" spans="1:7" x14ac:dyDescent="0.2">
      <c r="A2175" s="40">
        <v>8861</v>
      </c>
      <c r="B2175" s="39" t="s">
        <v>1432</v>
      </c>
      <c r="C2175" s="40" t="s">
        <v>2580</v>
      </c>
      <c r="D2175" s="74" t="s">
        <v>1269</v>
      </c>
      <c r="E2175" s="74" t="s">
        <v>1266</v>
      </c>
      <c r="F2175" s="74" t="s">
        <v>1268</v>
      </c>
      <c r="G2175" s="74" t="s">
        <v>1267</v>
      </c>
    </row>
    <row r="2176" spans="1:7" x14ac:dyDescent="0.2">
      <c r="A2176" s="40">
        <v>8862</v>
      </c>
      <c r="B2176" s="39" t="s">
        <v>1433</v>
      </c>
      <c r="C2176" s="40" t="s">
        <v>2580</v>
      </c>
      <c r="D2176" s="74" t="s">
        <v>1269</v>
      </c>
      <c r="E2176" s="74" t="s">
        <v>1266</v>
      </c>
      <c r="F2176" s="74" t="s">
        <v>1268</v>
      </c>
      <c r="G2176" s="74" t="s">
        <v>1268</v>
      </c>
    </row>
    <row r="2177" spans="1:7" x14ac:dyDescent="0.2">
      <c r="A2177" s="40">
        <v>8863</v>
      </c>
      <c r="B2177" s="39" t="s">
        <v>1434</v>
      </c>
      <c r="C2177" s="40" t="s">
        <v>2580</v>
      </c>
      <c r="D2177" s="74" t="s">
        <v>1269</v>
      </c>
      <c r="E2177" s="74" t="s">
        <v>1266</v>
      </c>
      <c r="F2177" s="74" t="s">
        <v>1268</v>
      </c>
      <c r="G2177" s="74" t="s">
        <v>1267</v>
      </c>
    </row>
    <row r="2178" spans="1:7" x14ac:dyDescent="0.2">
      <c r="A2178" s="40">
        <v>8864</v>
      </c>
      <c r="B2178" s="39" t="s">
        <v>1435</v>
      </c>
      <c r="C2178" s="40" t="s">
        <v>2580</v>
      </c>
      <c r="D2178" s="74" t="s">
        <v>1269</v>
      </c>
      <c r="E2178" s="74" t="s">
        <v>1266</v>
      </c>
      <c r="F2178" s="74" t="s">
        <v>1268</v>
      </c>
      <c r="G2178" s="74" t="s">
        <v>1267</v>
      </c>
    </row>
    <row r="2179" spans="1:7" x14ac:dyDescent="0.2">
      <c r="A2179" s="40">
        <v>8900</v>
      </c>
      <c r="B2179" s="39" t="s">
        <v>1436</v>
      </c>
      <c r="C2179" s="40" t="s">
        <v>2580</v>
      </c>
      <c r="D2179" s="74" t="s">
        <v>1269</v>
      </c>
      <c r="E2179" s="74" t="s">
        <v>1266</v>
      </c>
      <c r="F2179" s="74" t="s">
        <v>1268</v>
      </c>
      <c r="G2179" s="74" t="s">
        <v>1267</v>
      </c>
    </row>
    <row r="2180" spans="1:7" x14ac:dyDescent="0.2">
      <c r="A2180" s="40">
        <v>8903</v>
      </c>
      <c r="B2180" s="39" t="s">
        <v>1437</v>
      </c>
      <c r="C2180" s="40" t="s">
        <v>2580</v>
      </c>
      <c r="D2180" s="74" t="s">
        <v>1269</v>
      </c>
      <c r="E2180" s="74" t="s">
        <v>1266</v>
      </c>
      <c r="F2180" s="74" t="s">
        <v>1268</v>
      </c>
      <c r="G2180" s="74" t="s">
        <v>1267</v>
      </c>
    </row>
    <row r="2181" spans="1:7" x14ac:dyDescent="0.2">
      <c r="A2181" s="40">
        <v>8904</v>
      </c>
      <c r="B2181" s="39" t="s">
        <v>1438</v>
      </c>
      <c r="C2181" s="40" t="s">
        <v>2580</v>
      </c>
      <c r="D2181" s="74" t="s">
        <v>1269</v>
      </c>
      <c r="E2181" s="74" t="s">
        <v>1266</v>
      </c>
      <c r="F2181" s="74" t="s">
        <v>1268</v>
      </c>
      <c r="G2181" s="74" t="s">
        <v>1267</v>
      </c>
    </row>
    <row r="2182" spans="1:7" x14ac:dyDescent="0.2">
      <c r="A2182" s="40">
        <v>8911</v>
      </c>
      <c r="B2182" s="39" t="s">
        <v>112</v>
      </c>
      <c r="C2182" s="40" t="s">
        <v>2580</v>
      </c>
      <c r="D2182" s="74" t="s">
        <v>1269</v>
      </c>
      <c r="E2182" s="74" t="s">
        <v>1266</v>
      </c>
      <c r="F2182" s="74" t="s">
        <v>1268</v>
      </c>
      <c r="G2182" s="74" t="s">
        <v>1268</v>
      </c>
    </row>
    <row r="2183" spans="1:7" x14ac:dyDescent="0.2">
      <c r="A2183" s="40">
        <v>8912</v>
      </c>
      <c r="B2183" s="39" t="s">
        <v>1439</v>
      </c>
      <c r="C2183" s="40" t="s">
        <v>2580</v>
      </c>
      <c r="D2183" s="74" t="s">
        <v>1269</v>
      </c>
      <c r="E2183" s="74" t="s">
        <v>1266</v>
      </c>
      <c r="F2183" s="74" t="s">
        <v>1268</v>
      </c>
      <c r="G2183" s="74" t="s">
        <v>1267</v>
      </c>
    </row>
    <row r="2184" spans="1:7" x14ac:dyDescent="0.2">
      <c r="A2184" s="40">
        <v>8913</v>
      </c>
      <c r="B2184" s="39" t="s">
        <v>1440</v>
      </c>
      <c r="C2184" s="40" t="s">
        <v>2580</v>
      </c>
      <c r="D2184" s="74" t="s">
        <v>1269</v>
      </c>
      <c r="E2184" s="74" t="s">
        <v>1266</v>
      </c>
      <c r="F2184" s="74" t="s">
        <v>1268</v>
      </c>
      <c r="G2184" s="74" t="s">
        <v>1267</v>
      </c>
    </row>
    <row r="2185" spans="1:7" x14ac:dyDescent="0.2">
      <c r="A2185" s="40">
        <v>8920</v>
      </c>
      <c r="B2185" s="39" t="s">
        <v>1441</v>
      </c>
      <c r="C2185" s="40" t="s">
        <v>2580</v>
      </c>
      <c r="D2185" s="74" t="s">
        <v>1269</v>
      </c>
      <c r="E2185" s="74" t="s">
        <v>1266</v>
      </c>
      <c r="F2185" s="74" t="s">
        <v>1268</v>
      </c>
      <c r="G2185" s="74" t="s">
        <v>1268</v>
      </c>
    </row>
    <row r="2186" spans="1:7" x14ac:dyDescent="0.2">
      <c r="A2186" s="40">
        <v>8921</v>
      </c>
      <c r="B2186" s="39" t="s">
        <v>1442</v>
      </c>
      <c r="C2186" s="40" t="s">
        <v>2580</v>
      </c>
      <c r="D2186" s="74" t="s">
        <v>1269</v>
      </c>
      <c r="E2186" s="74" t="s">
        <v>1266</v>
      </c>
      <c r="F2186" s="74" t="s">
        <v>1268</v>
      </c>
      <c r="G2186" s="74" t="s">
        <v>1267</v>
      </c>
    </row>
    <row r="2187" spans="1:7" x14ac:dyDescent="0.2">
      <c r="A2187" s="40">
        <v>8922</v>
      </c>
      <c r="B2187" s="39" t="s">
        <v>1443</v>
      </c>
      <c r="C2187" s="40" t="s">
        <v>2580</v>
      </c>
      <c r="D2187" s="74" t="s">
        <v>1269</v>
      </c>
      <c r="E2187" s="74" t="s">
        <v>1266</v>
      </c>
      <c r="F2187" s="74" t="s">
        <v>1268</v>
      </c>
      <c r="G2187" s="74" t="s">
        <v>1267</v>
      </c>
    </row>
    <row r="2188" spans="1:7" x14ac:dyDescent="0.2">
      <c r="A2188" s="40">
        <v>8923</v>
      </c>
      <c r="B2188" s="39" t="s">
        <v>1444</v>
      </c>
      <c r="C2188" s="40" t="s">
        <v>2580</v>
      </c>
      <c r="D2188" s="74" t="s">
        <v>1269</v>
      </c>
      <c r="E2188" s="74" t="s">
        <v>1266</v>
      </c>
      <c r="F2188" s="74" t="s">
        <v>1268</v>
      </c>
      <c r="G2188" s="74" t="s">
        <v>1267</v>
      </c>
    </row>
    <row r="2189" spans="1:7" x14ac:dyDescent="0.2">
      <c r="A2189" s="40">
        <v>8924</v>
      </c>
      <c r="B2189" s="39" t="s">
        <v>1445</v>
      </c>
      <c r="C2189" s="40" t="s">
        <v>2580</v>
      </c>
      <c r="D2189" s="74" t="s">
        <v>1269</v>
      </c>
      <c r="E2189" s="74" t="s">
        <v>1266</v>
      </c>
      <c r="F2189" s="74" t="s">
        <v>1268</v>
      </c>
      <c r="G2189" s="74" t="s">
        <v>1267</v>
      </c>
    </row>
    <row r="2190" spans="1:7" x14ac:dyDescent="0.2">
      <c r="A2190" s="40">
        <v>8931</v>
      </c>
      <c r="B2190" s="39" t="s">
        <v>1446</v>
      </c>
      <c r="C2190" s="40" t="s">
        <v>2580</v>
      </c>
      <c r="D2190" s="74" t="s">
        <v>1269</v>
      </c>
      <c r="E2190" s="74" t="s">
        <v>1266</v>
      </c>
      <c r="F2190" s="74" t="s">
        <v>1268</v>
      </c>
      <c r="G2190" s="74" t="s">
        <v>1268</v>
      </c>
    </row>
    <row r="2191" spans="1:7" x14ac:dyDescent="0.2">
      <c r="A2191" s="40">
        <v>8932</v>
      </c>
      <c r="B2191" s="39" t="s">
        <v>1447</v>
      </c>
      <c r="C2191" s="40" t="s">
        <v>2580</v>
      </c>
      <c r="D2191" s="74" t="s">
        <v>1269</v>
      </c>
      <c r="E2191" s="74" t="s">
        <v>1266</v>
      </c>
      <c r="F2191" s="74" t="s">
        <v>1268</v>
      </c>
      <c r="G2191" s="74" t="s">
        <v>1267</v>
      </c>
    </row>
    <row r="2192" spans="1:7" x14ac:dyDescent="0.2">
      <c r="A2192" s="40">
        <v>8933</v>
      </c>
      <c r="B2192" s="39" t="s">
        <v>1448</v>
      </c>
      <c r="C2192" s="40" t="s">
        <v>2580</v>
      </c>
      <c r="D2192" s="74" t="s">
        <v>1269</v>
      </c>
      <c r="E2192" s="74" t="s">
        <v>1266</v>
      </c>
      <c r="F2192" s="74" t="s">
        <v>1268</v>
      </c>
      <c r="G2192" s="74" t="s">
        <v>1268</v>
      </c>
    </row>
    <row r="2193" spans="1:7" x14ac:dyDescent="0.2">
      <c r="A2193" s="40">
        <v>8934</v>
      </c>
      <c r="B2193" s="39" t="s">
        <v>1449</v>
      </c>
      <c r="C2193" s="40" t="s">
        <v>2580</v>
      </c>
      <c r="D2193" s="74" t="s">
        <v>1269</v>
      </c>
      <c r="E2193" s="74" t="s">
        <v>1266</v>
      </c>
      <c r="F2193" s="74" t="s">
        <v>1268</v>
      </c>
      <c r="G2193" s="74" t="s">
        <v>1267</v>
      </c>
    </row>
    <row r="2194" spans="1:7" x14ac:dyDescent="0.2">
      <c r="A2194" s="40">
        <v>8940</v>
      </c>
      <c r="B2194" s="39" t="s">
        <v>1450</v>
      </c>
      <c r="C2194" s="40" t="s">
        <v>2580</v>
      </c>
      <c r="D2194" s="74" t="s">
        <v>1269</v>
      </c>
      <c r="E2194" s="74" t="s">
        <v>1266</v>
      </c>
      <c r="F2194" s="74" t="s">
        <v>1268</v>
      </c>
      <c r="G2194" s="74" t="s">
        <v>1268</v>
      </c>
    </row>
    <row r="2195" spans="1:7" x14ac:dyDescent="0.2">
      <c r="A2195" s="40">
        <v>8942</v>
      </c>
      <c r="B2195" s="39" t="s">
        <v>1451</v>
      </c>
      <c r="C2195" s="40" t="s">
        <v>2580</v>
      </c>
      <c r="D2195" s="74" t="s">
        <v>1269</v>
      </c>
      <c r="E2195" s="74" t="s">
        <v>1266</v>
      </c>
      <c r="F2195" s="74" t="s">
        <v>1268</v>
      </c>
      <c r="G2195" s="74" t="s">
        <v>1267</v>
      </c>
    </row>
    <row r="2196" spans="1:7" x14ac:dyDescent="0.2">
      <c r="A2196" s="40">
        <v>8943</v>
      </c>
      <c r="B2196" s="39" t="s">
        <v>1452</v>
      </c>
      <c r="C2196" s="40" t="s">
        <v>2580</v>
      </c>
      <c r="D2196" s="74" t="s">
        <v>1269</v>
      </c>
      <c r="E2196" s="74" t="s">
        <v>1266</v>
      </c>
      <c r="F2196" s="74" t="s">
        <v>1268</v>
      </c>
      <c r="G2196" s="74" t="s">
        <v>1268</v>
      </c>
    </row>
    <row r="2197" spans="1:7" x14ac:dyDescent="0.2">
      <c r="A2197" s="40">
        <v>8950</v>
      </c>
      <c r="B2197" s="39" t="s">
        <v>1453</v>
      </c>
      <c r="C2197" s="40" t="s">
        <v>2580</v>
      </c>
      <c r="D2197" s="74" t="s">
        <v>1269</v>
      </c>
      <c r="E2197" s="74" t="s">
        <v>1266</v>
      </c>
      <c r="F2197" s="74" t="s">
        <v>1268</v>
      </c>
      <c r="G2197" s="74" t="s">
        <v>1268</v>
      </c>
    </row>
    <row r="2198" spans="1:7" x14ac:dyDescent="0.2">
      <c r="A2198" s="40">
        <v>8951</v>
      </c>
      <c r="B2198" s="39" t="s">
        <v>1454</v>
      </c>
      <c r="C2198" s="40" t="s">
        <v>2580</v>
      </c>
      <c r="D2198" s="74" t="s">
        <v>1269</v>
      </c>
      <c r="E2198" s="74" t="s">
        <v>1266</v>
      </c>
      <c r="F2198" s="74" t="s">
        <v>1268</v>
      </c>
      <c r="G2198" s="74" t="s">
        <v>1267</v>
      </c>
    </row>
    <row r="2199" spans="1:7" x14ac:dyDescent="0.2">
      <c r="A2199" s="40">
        <v>8952</v>
      </c>
      <c r="B2199" s="39" t="s">
        <v>1455</v>
      </c>
      <c r="C2199" s="40" t="s">
        <v>2580</v>
      </c>
      <c r="D2199" s="74" t="s">
        <v>1269</v>
      </c>
      <c r="E2199" s="74" t="s">
        <v>1266</v>
      </c>
      <c r="F2199" s="74" t="s">
        <v>1268</v>
      </c>
      <c r="G2199" s="74" t="s">
        <v>1268</v>
      </c>
    </row>
    <row r="2200" spans="1:7" x14ac:dyDescent="0.2">
      <c r="A2200" s="40">
        <v>8953</v>
      </c>
      <c r="B2200" s="39" t="s">
        <v>1456</v>
      </c>
      <c r="C2200" s="40" t="s">
        <v>2580</v>
      </c>
      <c r="D2200" s="74" t="s">
        <v>1269</v>
      </c>
      <c r="E2200" s="74" t="s">
        <v>1266</v>
      </c>
      <c r="F2200" s="74" t="s">
        <v>1268</v>
      </c>
      <c r="G2200" s="74" t="s">
        <v>1267</v>
      </c>
    </row>
    <row r="2201" spans="1:7" x14ac:dyDescent="0.2">
      <c r="A2201" s="40">
        <v>8954</v>
      </c>
      <c r="B2201" s="39" t="s">
        <v>1457</v>
      </c>
      <c r="C2201" s="40" t="s">
        <v>2580</v>
      </c>
      <c r="D2201" s="74" t="s">
        <v>1269</v>
      </c>
      <c r="E2201" s="74" t="s">
        <v>1266</v>
      </c>
      <c r="F2201" s="74" t="s">
        <v>1268</v>
      </c>
      <c r="G2201" s="74" t="s">
        <v>1267</v>
      </c>
    </row>
    <row r="2202" spans="1:7" x14ac:dyDescent="0.2">
      <c r="A2202" s="40">
        <v>8960</v>
      </c>
      <c r="B2202" s="39" t="s">
        <v>1458</v>
      </c>
      <c r="C2202" s="40" t="s">
        <v>2580</v>
      </c>
      <c r="D2202" s="74" t="s">
        <v>1269</v>
      </c>
      <c r="E2202" s="74" t="s">
        <v>1266</v>
      </c>
      <c r="F2202" s="74" t="s">
        <v>1268</v>
      </c>
      <c r="G2202" s="74" t="s">
        <v>1268</v>
      </c>
    </row>
    <row r="2203" spans="1:7" x14ac:dyDescent="0.2">
      <c r="A2203" s="40">
        <v>8961</v>
      </c>
      <c r="B2203" s="39" t="s">
        <v>1459</v>
      </c>
      <c r="C2203" s="40" t="s">
        <v>2580</v>
      </c>
      <c r="D2203" s="74" t="s">
        <v>1269</v>
      </c>
      <c r="E2203" s="74" t="s">
        <v>1266</v>
      </c>
      <c r="F2203" s="74" t="s">
        <v>1268</v>
      </c>
      <c r="G2203" s="74" t="s">
        <v>1267</v>
      </c>
    </row>
    <row r="2204" spans="1:7" x14ac:dyDescent="0.2">
      <c r="A2204" s="40">
        <v>8962</v>
      </c>
      <c r="B2204" s="39" t="s">
        <v>1460</v>
      </c>
      <c r="C2204" s="40" t="s">
        <v>2580</v>
      </c>
      <c r="D2204" s="74" t="s">
        <v>1269</v>
      </c>
      <c r="E2204" s="74" t="s">
        <v>1266</v>
      </c>
      <c r="F2204" s="74" t="s">
        <v>1268</v>
      </c>
      <c r="G2204" s="74" t="s">
        <v>1268</v>
      </c>
    </row>
    <row r="2205" spans="1:7" x14ac:dyDescent="0.2">
      <c r="A2205" s="40">
        <v>8965</v>
      </c>
      <c r="B2205" s="39" t="s">
        <v>1461</v>
      </c>
      <c r="C2205" s="40" t="s">
        <v>2580</v>
      </c>
      <c r="D2205" s="74" t="s">
        <v>1269</v>
      </c>
      <c r="E2205" s="74" t="s">
        <v>1266</v>
      </c>
      <c r="F2205" s="74" t="s">
        <v>1268</v>
      </c>
      <c r="G2205" s="74" t="s">
        <v>1267</v>
      </c>
    </row>
    <row r="2206" spans="1:7" x14ac:dyDescent="0.2">
      <c r="A2206" s="40">
        <v>8966</v>
      </c>
      <c r="B2206" s="39" t="s">
        <v>1462</v>
      </c>
      <c r="C2206" s="40" t="s">
        <v>2580</v>
      </c>
      <c r="D2206" s="74" t="s">
        <v>1269</v>
      </c>
      <c r="E2206" s="74" t="s">
        <v>1266</v>
      </c>
      <c r="F2206" s="74" t="s">
        <v>1268</v>
      </c>
      <c r="G2206" s="74" t="s">
        <v>1267</v>
      </c>
    </row>
    <row r="2207" spans="1:7" x14ac:dyDescent="0.2">
      <c r="A2207" s="40">
        <v>8967</v>
      </c>
      <c r="B2207" s="39" t="s">
        <v>1463</v>
      </c>
      <c r="C2207" s="40" t="s">
        <v>2580</v>
      </c>
      <c r="D2207" s="74" t="s">
        <v>1269</v>
      </c>
      <c r="E2207" s="74" t="s">
        <v>1266</v>
      </c>
      <c r="F2207" s="74" t="s">
        <v>1268</v>
      </c>
      <c r="G2207" s="74" t="s">
        <v>1268</v>
      </c>
    </row>
    <row r="2208" spans="1:7" x14ac:dyDescent="0.2">
      <c r="A2208" s="40">
        <v>8970</v>
      </c>
      <c r="B2208" s="39" t="s">
        <v>1464</v>
      </c>
      <c r="C2208" s="40" t="s">
        <v>2580</v>
      </c>
      <c r="D2208" s="74" t="s">
        <v>1269</v>
      </c>
      <c r="E2208" s="74" t="s">
        <v>1266</v>
      </c>
      <c r="F2208" s="74" t="s">
        <v>1268</v>
      </c>
      <c r="G2208" s="74" t="s">
        <v>1268</v>
      </c>
    </row>
    <row r="2209" spans="1:7" x14ac:dyDescent="0.2">
      <c r="A2209" s="40">
        <v>8971</v>
      </c>
      <c r="B2209" s="39" t="s">
        <v>1465</v>
      </c>
      <c r="C2209" s="40" t="s">
        <v>2580</v>
      </c>
      <c r="D2209" s="74" t="s">
        <v>1269</v>
      </c>
      <c r="E2209" s="74" t="s">
        <v>1266</v>
      </c>
      <c r="F2209" s="74" t="s">
        <v>1268</v>
      </c>
      <c r="G2209" s="74" t="s">
        <v>1267</v>
      </c>
    </row>
    <row r="2210" spans="1:7" x14ac:dyDescent="0.2">
      <c r="A2210" s="40">
        <v>8972</v>
      </c>
      <c r="B2210" s="39" t="s">
        <v>463</v>
      </c>
      <c r="C2210" s="40" t="s">
        <v>2580</v>
      </c>
      <c r="D2210" s="74" t="s">
        <v>1269</v>
      </c>
      <c r="E2210" s="74" t="s">
        <v>1266</v>
      </c>
      <c r="F2210" s="74" t="s">
        <v>1268</v>
      </c>
      <c r="G2210" s="74" t="s">
        <v>1268</v>
      </c>
    </row>
    <row r="2211" spans="1:7" x14ac:dyDescent="0.2">
      <c r="A2211" s="40">
        <v>8973</v>
      </c>
      <c r="B2211" s="39" t="s">
        <v>1466</v>
      </c>
      <c r="C2211" s="40" t="s">
        <v>2580</v>
      </c>
      <c r="D2211" s="74" t="s">
        <v>1269</v>
      </c>
      <c r="E2211" s="74" t="s">
        <v>1266</v>
      </c>
      <c r="F2211" s="74" t="s">
        <v>1268</v>
      </c>
      <c r="G2211" s="74" t="s">
        <v>1267</v>
      </c>
    </row>
    <row r="2212" spans="1:7" x14ac:dyDescent="0.2">
      <c r="A2212" s="40">
        <v>8974</v>
      </c>
      <c r="B2212" s="39" t="s">
        <v>1467</v>
      </c>
      <c r="C2212" s="40" t="s">
        <v>2580</v>
      </c>
      <c r="D2212" s="74" t="s">
        <v>1269</v>
      </c>
      <c r="E2212" s="74" t="s">
        <v>1266</v>
      </c>
      <c r="F2212" s="74" t="s">
        <v>1268</v>
      </c>
      <c r="G2212" s="74" t="s">
        <v>1267</v>
      </c>
    </row>
    <row r="2213" spans="1:7" x14ac:dyDescent="0.2">
      <c r="A2213" s="40">
        <v>8982</v>
      </c>
      <c r="B2213" s="39" t="s">
        <v>1468</v>
      </c>
      <c r="C2213" s="40" t="s">
        <v>2580</v>
      </c>
      <c r="D2213" s="74" t="s">
        <v>1269</v>
      </c>
      <c r="E2213" s="74" t="s">
        <v>1266</v>
      </c>
      <c r="F2213" s="74" t="s">
        <v>1268</v>
      </c>
      <c r="G2213" s="74" t="s">
        <v>1267</v>
      </c>
    </row>
    <row r="2214" spans="1:7" x14ac:dyDescent="0.2">
      <c r="A2214" s="40">
        <v>8983</v>
      </c>
      <c r="B2214" s="39" t="s">
        <v>1469</v>
      </c>
      <c r="C2214" s="40" t="s">
        <v>2580</v>
      </c>
      <c r="D2214" s="74" t="s">
        <v>1269</v>
      </c>
      <c r="E2214" s="74" t="s">
        <v>1266</v>
      </c>
      <c r="F2214" s="74" t="s">
        <v>1268</v>
      </c>
      <c r="G2214" s="74" t="s">
        <v>1268</v>
      </c>
    </row>
    <row r="2215" spans="1:7" x14ac:dyDescent="0.2">
      <c r="A2215" s="40">
        <v>8984</v>
      </c>
      <c r="B2215" s="39" t="s">
        <v>1470</v>
      </c>
      <c r="C2215" s="40" t="s">
        <v>2580</v>
      </c>
      <c r="D2215" s="74" t="s">
        <v>1269</v>
      </c>
      <c r="E2215" s="74" t="s">
        <v>1266</v>
      </c>
      <c r="F2215" s="74" t="s">
        <v>1268</v>
      </c>
      <c r="G2215" s="74" t="s">
        <v>1267</v>
      </c>
    </row>
    <row r="2216" spans="1:7" x14ac:dyDescent="0.2">
      <c r="A2216" s="40">
        <v>8990</v>
      </c>
      <c r="B2216" s="39" t="s">
        <v>1471</v>
      </c>
      <c r="C2216" s="40" t="s">
        <v>2580</v>
      </c>
      <c r="D2216" s="74" t="s">
        <v>1269</v>
      </c>
      <c r="E2216" s="74" t="s">
        <v>1266</v>
      </c>
      <c r="F2216" s="74" t="s">
        <v>1268</v>
      </c>
      <c r="G2216" s="74" t="s">
        <v>1268</v>
      </c>
    </row>
    <row r="2217" spans="1:7" x14ac:dyDescent="0.2">
      <c r="A2217" s="40">
        <v>8992</v>
      </c>
      <c r="B2217" s="39" t="s">
        <v>1472</v>
      </c>
      <c r="C2217" s="40" t="s">
        <v>2580</v>
      </c>
      <c r="D2217" s="74" t="s">
        <v>1269</v>
      </c>
      <c r="E2217" s="74" t="s">
        <v>1266</v>
      </c>
      <c r="F2217" s="74" t="s">
        <v>1268</v>
      </c>
      <c r="G2217" s="74" t="s">
        <v>1268</v>
      </c>
    </row>
    <row r="2218" spans="1:7" x14ac:dyDescent="0.2">
      <c r="A2218" s="40">
        <v>8993</v>
      </c>
      <c r="B2218" s="39" t="s">
        <v>1473</v>
      </c>
      <c r="C2218" s="40" t="s">
        <v>2580</v>
      </c>
      <c r="D2218" s="74" t="s">
        <v>1269</v>
      </c>
      <c r="E2218" s="74" t="s">
        <v>1266</v>
      </c>
      <c r="F2218" s="74" t="s">
        <v>1268</v>
      </c>
      <c r="G2218" s="74" t="s">
        <v>1267</v>
      </c>
    </row>
    <row r="2219" spans="1:7" x14ac:dyDescent="0.2">
      <c r="A2219" s="40">
        <v>9010</v>
      </c>
      <c r="B2219" s="39" t="s">
        <v>1474</v>
      </c>
      <c r="C2219" s="40" t="s">
        <v>1475</v>
      </c>
      <c r="D2219" s="74" t="s">
        <v>1271</v>
      </c>
      <c r="E2219" s="74" t="s">
        <v>1266</v>
      </c>
      <c r="F2219" s="74" t="s">
        <v>1267</v>
      </c>
      <c r="G2219" s="74" t="s">
        <v>1268</v>
      </c>
    </row>
    <row r="2220" spans="1:7" x14ac:dyDescent="0.2">
      <c r="A2220" s="40">
        <v>9013</v>
      </c>
      <c r="B2220" s="39" t="s">
        <v>1474</v>
      </c>
      <c r="C2220" s="40" t="s">
        <v>1475</v>
      </c>
      <c r="D2220" s="74" t="s">
        <v>1271</v>
      </c>
      <c r="E2220" s="74" t="s">
        <v>1266</v>
      </c>
      <c r="F2220" s="74" t="s">
        <v>1267</v>
      </c>
      <c r="G2220" s="74" t="s">
        <v>1268</v>
      </c>
    </row>
    <row r="2221" spans="1:7" x14ac:dyDescent="0.2">
      <c r="A2221" s="40">
        <v>9020</v>
      </c>
      <c r="B2221" s="39" t="s">
        <v>1474</v>
      </c>
      <c r="C2221" s="40" t="s">
        <v>1475</v>
      </c>
      <c r="D2221" s="74" t="s">
        <v>1269</v>
      </c>
      <c r="E2221" s="74" t="s">
        <v>1266</v>
      </c>
      <c r="F2221" s="74" t="s">
        <v>1268</v>
      </c>
      <c r="G2221" s="74" t="s">
        <v>1268</v>
      </c>
    </row>
    <row r="2222" spans="1:7" x14ac:dyDescent="0.2">
      <c r="A2222" s="40">
        <v>9021</v>
      </c>
      <c r="B2222" s="39" t="s">
        <v>1476</v>
      </c>
      <c r="C2222" s="40" t="s">
        <v>1475</v>
      </c>
      <c r="D2222" s="74" t="s">
        <v>1271</v>
      </c>
      <c r="E2222" s="74" t="s">
        <v>1266</v>
      </c>
      <c r="F2222" s="74" t="s">
        <v>1267</v>
      </c>
      <c r="G2222" s="74" t="s">
        <v>1268</v>
      </c>
    </row>
    <row r="2223" spans="1:7" x14ac:dyDescent="0.2">
      <c r="A2223" s="40">
        <v>9022</v>
      </c>
      <c r="B2223" s="39" t="s">
        <v>1474</v>
      </c>
      <c r="C2223" s="40" t="s">
        <v>1475</v>
      </c>
      <c r="D2223" s="74" t="s">
        <v>1271</v>
      </c>
      <c r="E2223" s="74" t="s">
        <v>1266</v>
      </c>
      <c r="F2223" s="74" t="s">
        <v>1267</v>
      </c>
      <c r="G2223" s="74" t="s">
        <v>1268</v>
      </c>
    </row>
    <row r="2224" spans="1:7" x14ac:dyDescent="0.2">
      <c r="A2224" s="40">
        <v>9023</v>
      </c>
      <c r="B2224" s="39" t="s">
        <v>1474</v>
      </c>
      <c r="C2224" s="40" t="s">
        <v>1475</v>
      </c>
      <c r="D2224" s="74" t="s">
        <v>1271</v>
      </c>
      <c r="E2224" s="74" t="s">
        <v>1266</v>
      </c>
      <c r="F2224" s="74" t="s">
        <v>1267</v>
      </c>
      <c r="G2224" s="74" t="s">
        <v>1268</v>
      </c>
    </row>
    <row r="2225" spans="1:7" x14ac:dyDescent="0.2">
      <c r="A2225" s="40">
        <v>9024</v>
      </c>
      <c r="B2225" s="39" t="s">
        <v>1474</v>
      </c>
      <c r="C2225" s="40" t="s">
        <v>1475</v>
      </c>
      <c r="D2225" s="74" t="s">
        <v>1271</v>
      </c>
      <c r="E2225" s="74" t="s">
        <v>1266</v>
      </c>
      <c r="F2225" s="74" t="s">
        <v>1267</v>
      </c>
      <c r="G2225" s="74" t="s">
        <v>1268</v>
      </c>
    </row>
    <row r="2226" spans="1:7" x14ac:dyDescent="0.2">
      <c r="A2226" s="40">
        <v>9025</v>
      </c>
      <c r="B2226" s="39" t="s">
        <v>1474</v>
      </c>
      <c r="C2226" s="40" t="s">
        <v>1475</v>
      </c>
      <c r="D2226" s="74" t="s">
        <v>1271</v>
      </c>
      <c r="E2226" s="74" t="s">
        <v>1266</v>
      </c>
      <c r="F2226" s="74" t="s">
        <v>1267</v>
      </c>
      <c r="G2226" s="74" t="s">
        <v>1268</v>
      </c>
    </row>
    <row r="2227" spans="1:7" x14ac:dyDescent="0.2">
      <c r="A2227" s="40">
        <v>9026</v>
      </c>
      <c r="B2227" s="39" t="s">
        <v>1474</v>
      </c>
      <c r="C2227" s="40" t="s">
        <v>1475</v>
      </c>
      <c r="D2227" s="74" t="s">
        <v>1271</v>
      </c>
      <c r="E2227" s="74" t="s">
        <v>1266</v>
      </c>
      <c r="F2227" s="74" t="s">
        <v>1267</v>
      </c>
      <c r="G2227" s="74" t="s">
        <v>1268</v>
      </c>
    </row>
    <row r="2228" spans="1:7" x14ac:dyDescent="0.2">
      <c r="A2228" s="40">
        <v>9027</v>
      </c>
      <c r="B2228" s="39" t="s">
        <v>1474</v>
      </c>
      <c r="C2228" s="40" t="s">
        <v>1475</v>
      </c>
      <c r="D2228" s="74" t="s">
        <v>1271</v>
      </c>
      <c r="E2228" s="74" t="s">
        <v>1266</v>
      </c>
      <c r="F2228" s="74" t="s">
        <v>1267</v>
      </c>
      <c r="G2228" s="74" t="s">
        <v>1268</v>
      </c>
    </row>
    <row r="2229" spans="1:7" x14ac:dyDescent="0.2">
      <c r="A2229" s="40">
        <v>9028</v>
      </c>
      <c r="B2229" s="39" t="s">
        <v>1474</v>
      </c>
      <c r="C2229" s="40" t="s">
        <v>1475</v>
      </c>
      <c r="D2229" s="74" t="s">
        <v>1271</v>
      </c>
      <c r="E2229" s="74" t="s">
        <v>1266</v>
      </c>
      <c r="F2229" s="74" t="s">
        <v>1267</v>
      </c>
      <c r="G2229" s="74" t="s">
        <v>1268</v>
      </c>
    </row>
    <row r="2230" spans="1:7" x14ac:dyDescent="0.2">
      <c r="A2230" s="40">
        <v>9029</v>
      </c>
      <c r="B2230" s="39" t="s">
        <v>1474</v>
      </c>
      <c r="C2230" s="40" t="s">
        <v>1475</v>
      </c>
      <c r="D2230" s="74" t="s">
        <v>1271</v>
      </c>
      <c r="E2230" s="74" t="s">
        <v>1266</v>
      </c>
      <c r="F2230" s="74" t="s">
        <v>1267</v>
      </c>
      <c r="G2230" s="74" t="s">
        <v>1268</v>
      </c>
    </row>
    <row r="2231" spans="1:7" x14ac:dyDescent="0.2">
      <c r="A2231" s="40">
        <v>9061</v>
      </c>
      <c r="B2231" s="39" t="s">
        <v>1477</v>
      </c>
      <c r="C2231" s="40" t="s">
        <v>1475</v>
      </c>
      <c r="D2231" s="74" t="s">
        <v>1269</v>
      </c>
      <c r="E2231" s="74" t="s">
        <v>1266</v>
      </c>
      <c r="F2231" s="74" t="s">
        <v>1268</v>
      </c>
      <c r="G2231" s="74" t="s">
        <v>1268</v>
      </c>
    </row>
    <row r="2232" spans="1:7" x14ac:dyDescent="0.2">
      <c r="A2232" s="40">
        <v>9062</v>
      </c>
      <c r="B2232" s="39" t="s">
        <v>1478</v>
      </c>
      <c r="C2232" s="40" t="s">
        <v>1475</v>
      </c>
      <c r="D2232" s="74" t="s">
        <v>1269</v>
      </c>
      <c r="E2232" s="74" t="s">
        <v>1266</v>
      </c>
      <c r="F2232" s="74" t="s">
        <v>1268</v>
      </c>
      <c r="G2232" s="74" t="s">
        <v>1268</v>
      </c>
    </row>
    <row r="2233" spans="1:7" x14ac:dyDescent="0.2">
      <c r="A2233" s="40">
        <v>9063</v>
      </c>
      <c r="B2233" s="39" t="s">
        <v>1479</v>
      </c>
      <c r="C2233" s="40" t="s">
        <v>1475</v>
      </c>
      <c r="D2233" s="74" t="s">
        <v>1269</v>
      </c>
      <c r="E2233" s="74" t="s">
        <v>1266</v>
      </c>
      <c r="F2233" s="74" t="s">
        <v>1268</v>
      </c>
      <c r="G2233" s="74" t="s">
        <v>1268</v>
      </c>
    </row>
    <row r="2234" spans="1:7" x14ac:dyDescent="0.2">
      <c r="A2234" s="40">
        <v>9064</v>
      </c>
      <c r="B2234" s="39" t="s">
        <v>1480</v>
      </c>
      <c r="C2234" s="40" t="s">
        <v>1475</v>
      </c>
      <c r="D2234" s="74" t="s">
        <v>1269</v>
      </c>
      <c r="E2234" s="74" t="s">
        <v>1266</v>
      </c>
      <c r="F2234" s="74" t="s">
        <v>1268</v>
      </c>
      <c r="G2234" s="74" t="s">
        <v>1268</v>
      </c>
    </row>
    <row r="2235" spans="1:7" x14ac:dyDescent="0.2">
      <c r="A2235" s="40">
        <v>9065</v>
      </c>
      <c r="B2235" s="39" t="s">
        <v>1386</v>
      </c>
      <c r="C2235" s="40" t="s">
        <v>1475</v>
      </c>
      <c r="D2235" s="74" t="s">
        <v>1269</v>
      </c>
      <c r="E2235" s="74" t="s">
        <v>1266</v>
      </c>
      <c r="F2235" s="74" t="s">
        <v>1268</v>
      </c>
      <c r="G2235" s="74" t="s">
        <v>1268</v>
      </c>
    </row>
    <row r="2236" spans="1:7" x14ac:dyDescent="0.2">
      <c r="A2236" s="40">
        <v>9071</v>
      </c>
      <c r="B2236" s="39" t="s">
        <v>1481</v>
      </c>
      <c r="C2236" s="40" t="s">
        <v>1475</v>
      </c>
      <c r="D2236" s="74" t="s">
        <v>1269</v>
      </c>
      <c r="E2236" s="74" t="s">
        <v>1266</v>
      </c>
      <c r="F2236" s="74" t="s">
        <v>1268</v>
      </c>
      <c r="G2236" s="74" t="s">
        <v>1268</v>
      </c>
    </row>
    <row r="2237" spans="1:7" x14ac:dyDescent="0.2">
      <c r="A2237" s="40">
        <v>9072</v>
      </c>
      <c r="B2237" s="39" t="s">
        <v>1482</v>
      </c>
      <c r="C2237" s="40" t="s">
        <v>1475</v>
      </c>
      <c r="D2237" s="74" t="s">
        <v>1269</v>
      </c>
      <c r="E2237" s="74" t="s">
        <v>1266</v>
      </c>
      <c r="F2237" s="74" t="s">
        <v>1268</v>
      </c>
      <c r="G2237" s="74" t="s">
        <v>1267</v>
      </c>
    </row>
    <row r="2238" spans="1:7" x14ac:dyDescent="0.2">
      <c r="A2238" s="40">
        <v>9073</v>
      </c>
      <c r="B2238" s="39" t="s">
        <v>1483</v>
      </c>
      <c r="C2238" s="40" t="s">
        <v>1475</v>
      </c>
      <c r="D2238" s="74" t="s">
        <v>1269</v>
      </c>
      <c r="E2238" s="74" t="s">
        <v>1266</v>
      </c>
      <c r="F2238" s="74" t="s">
        <v>1268</v>
      </c>
      <c r="G2238" s="74" t="s">
        <v>1268</v>
      </c>
    </row>
    <row r="2239" spans="1:7" x14ac:dyDescent="0.2">
      <c r="A2239" s="40">
        <v>9074</v>
      </c>
      <c r="B2239" s="39" t="s">
        <v>1484</v>
      </c>
      <c r="C2239" s="40" t="s">
        <v>1475</v>
      </c>
      <c r="D2239" s="74" t="s">
        <v>1269</v>
      </c>
      <c r="E2239" s="74" t="s">
        <v>1266</v>
      </c>
      <c r="F2239" s="74" t="s">
        <v>1268</v>
      </c>
      <c r="G2239" s="74" t="s">
        <v>1268</v>
      </c>
    </row>
    <row r="2240" spans="1:7" x14ac:dyDescent="0.2">
      <c r="A2240" s="40">
        <v>9081</v>
      </c>
      <c r="B2240" s="39" t="s">
        <v>1485</v>
      </c>
      <c r="C2240" s="40" t="s">
        <v>1475</v>
      </c>
      <c r="D2240" s="74" t="s">
        <v>1269</v>
      </c>
      <c r="E2240" s="74" t="s">
        <v>1266</v>
      </c>
      <c r="F2240" s="74" t="s">
        <v>1268</v>
      </c>
      <c r="G2240" s="74" t="s">
        <v>1268</v>
      </c>
    </row>
    <row r="2241" spans="1:7" x14ac:dyDescent="0.2">
      <c r="A2241" s="40">
        <v>9082</v>
      </c>
      <c r="B2241" s="39" t="s">
        <v>1486</v>
      </c>
      <c r="C2241" s="40" t="s">
        <v>1475</v>
      </c>
      <c r="D2241" s="74" t="s">
        <v>1269</v>
      </c>
      <c r="E2241" s="74" t="s">
        <v>1266</v>
      </c>
      <c r="F2241" s="74" t="s">
        <v>1268</v>
      </c>
      <c r="G2241" s="74" t="s">
        <v>1267</v>
      </c>
    </row>
    <row r="2242" spans="1:7" x14ac:dyDescent="0.2">
      <c r="A2242" s="40">
        <v>9100</v>
      </c>
      <c r="B2242" s="39" t="s">
        <v>1487</v>
      </c>
      <c r="C2242" s="40" t="s">
        <v>1475</v>
      </c>
      <c r="D2242" s="74" t="s">
        <v>1269</v>
      </c>
      <c r="E2242" s="74" t="s">
        <v>1266</v>
      </c>
      <c r="F2242" s="74" t="s">
        <v>1268</v>
      </c>
      <c r="G2242" s="74" t="s">
        <v>1268</v>
      </c>
    </row>
    <row r="2243" spans="1:7" x14ac:dyDescent="0.2">
      <c r="A2243" s="40">
        <v>9102</v>
      </c>
      <c r="B2243" s="39" t="s">
        <v>1488</v>
      </c>
      <c r="C2243" s="40" t="s">
        <v>1475</v>
      </c>
      <c r="D2243" s="74" t="s">
        <v>1269</v>
      </c>
      <c r="E2243" s="74" t="s">
        <v>1266</v>
      </c>
      <c r="F2243" s="74" t="s">
        <v>1268</v>
      </c>
      <c r="G2243" s="74" t="s">
        <v>1267</v>
      </c>
    </row>
    <row r="2244" spans="1:7" x14ac:dyDescent="0.2">
      <c r="A2244" s="40">
        <v>9103</v>
      </c>
      <c r="B2244" s="39" t="s">
        <v>1489</v>
      </c>
      <c r="C2244" s="40" t="s">
        <v>1475</v>
      </c>
      <c r="D2244" s="74" t="s">
        <v>1269</v>
      </c>
      <c r="E2244" s="74" t="s">
        <v>1266</v>
      </c>
      <c r="F2244" s="74" t="s">
        <v>1268</v>
      </c>
      <c r="G2244" s="74" t="s">
        <v>1268</v>
      </c>
    </row>
    <row r="2245" spans="1:7" x14ac:dyDescent="0.2">
      <c r="A2245" s="40">
        <v>9104</v>
      </c>
      <c r="B2245" s="39" t="s">
        <v>1490</v>
      </c>
      <c r="C2245" s="40" t="s">
        <v>1475</v>
      </c>
      <c r="D2245" s="74" t="s">
        <v>1269</v>
      </c>
      <c r="E2245" s="74" t="s">
        <v>1266</v>
      </c>
      <c r="F2245" s="74" t="s">
        <v>1268</v>
      </c>
      <c r="G2245" s="74" t="s">
        <v>1267</v>
      </c>
    </row>
    <row r="2246" spans="1:7" x14ac:dyDescent="0.2">
      <c r="A2246" s="40">
        <v>9111</v>
      </c>
      <c r="B2246" s="39" t="s">
        <v>1491</v>
      </c>
      <c r="C2246" s="40" t="s">
        <v>1475</v>
      </c>
      <c r="D2246" s="74" t="s">
        <v>1269</v>
      </c>
      <c r="E2246" s="74" t="s">
        <v>1266</v>
      </c>
      <c r="F2246" s="74" t="s">
        <v>1268</v>
      </c>
      <c r="G2246" s="74" t="s">
        <v>1267</v>
      </c>
    </row>
    <row r="2247" spans="1:7" x14ac:dyDescent="0.2">
      <c r="A2247" s="40">
        <v>9112</v>
      </c>
      <c r="B2247" s="39" t="s">
        <v>1492</v>
      </c>
      <c r="C2247" s="40" t="s">
        <v>1475</v>
      </c>
      <c r="D2247" s="74" t="s">
        <v>1269</v>
      </c>
      <c r="E2247" s="74" t="s">
        <v>1266</v>
      </c>
      <c r="F2247" s="74" t="s">
        <v>1268</v>
      </c>
      <c r="G2247" s="74" t="s">
        <v>1268</v>
      </c>
    </row>
    <row r="2248" spans="1:7" x14ac:dyDescent="0.2">
      <c r="A2248" s="40">
        <v>9113</v>
      </c>
      <c r="B2248" s="39" t="s">
        <v>1493</v>
      </c>
      <c r="C2248" s="40" t="s">
        <v>1475</v>
      </c>
      <c r="D2248" s="74" t="s">
        <v>1269</v>
      </c>
      <c r="E2248" s="74" t="s">
        <v>1266</v>
      </c>
      <c r="F2248" s="74" t="s">
        <v>1268</v>
      </c>
      <c r="G2248" s="74" t="s">
        <v>1268</v>
      </c>
    </row>
    <row r="2249" spans="1:7" x14ac:dyDescent="0.2">
      <c r="A2249" s="40">
        <v>9121</v>
      </c>
      <c r="B2249" s="39" t="s">
        <v>1494</v>
      </c>
      <c r="C2249" s="40" t="s">
        <v>1475</v>
      </c>
      <c r="D2249" s="74" t="s">
        <v>1269</v>
      </c>
      <c r="E2249" s="74" t="s">
        <v>1266</v>
      </c>
      <c r="F2249" s="74" t="s">
        <v>1268</v>
      </c>
      <c r="G2249" s="74" t="s">
        <v>1268</v>
      </c>
    </row>
    <row r="2250" spans="1:7" x14ac:dyDescent="0.2">
      <c r="A2250" s="40">
        <v>9122</v>
      </c>
      <c r="B2250" s="39" t="s">
        <v>1495</v>
      </c>
      <c r="C2250" s="40" t="s">
        <v>1475</v>
      </c>
      <c r="D2250" s="74" t="s">
        <v>1269</v>
      </c>
      <c r="E2250" s="74" t="s">
        <v>1266</v>
      </c>
      <c r="F2250" s="74" t="s">
        <v>1268</v>
      </c>
      <c r="G2250" s="74" t="s">
        <v>1268</v>
      </c>
    </row>
    <row r="2251" spans="1:7" x14ac:dyDescent="0.2">
      <c r="A2251" s="40">
        <v>9123</v>
      </c>
      <c r="B2251" s="39" t="s">
        <v>1496</v>
      </c>
      <c r="C2251" s="40" t="s">
        <v>1475</v>
      </c>
      <c r="D2251" s="74" t="s">
        <v>1269</v>
      </c>
      <c r="E2251" s="74" t="s">
        <v>1266</v>
      </c>
      <c r="F2251" s="74" t="s">
        <v>1268</v>
      </c>
      <c r="G2251" s="74" t="s">
        <v>1267</v>
      </c>
    </row>
    <row r="2252" spans="1:7" x14ac:dyDescent="0.2">
      <c r="A2252" s="40">
        <v>9125</v>
      </c>
      <c r="B2252" s="39" t="s">
        <v>1497</v>
      </c>
      <c r="C2252" s="40" t="s">
        <v>1475</v>
      </c>
      <c r="D2252" s="74" t="s">
        <v>1269</v>
      </c>
      <c r="E2252" s="74" t="s">
        <v>1266</v>
      </c>
      <c r="F2252" s="74" t="s">
        <v>1268</v>
      </c>
      <c r="G2252" s="74" t="s">
        <v>1268</v>
      </c>
    </row>
    <row r="2253" spans="1:7" x14ac:dyDescent="0.2">
      <c r="A2253" s="40">
        <v>9130</v>
      </c>
      <c r="B2253" s="39" t="s">
        <v>1498</v>
      </c>
      <c r="C2253" s="40" t="s">
        <v>1475</v>
      </c>
      <c r="D2253" s="74" t="s">
        <v>1269</v>
      </c>
      <c r="E2253" s="74" t="s">
        <v>1266</v>
      </c>
      <c r="F2253" s="74" t="s">
        <v>1268</v>
      </c>
      <c r="G2253" s="74" t="s">
        <v>1267</v>
      </c>
    </row>
    <row r="2254" spans="1:7" x14ac:dyDescent="0.2">
      <c r="A2254" s="40">
        <v>9131</v>
      </c>
      <c r="B2254" s="39" t="s">
        <v>1499</v>
      </c>
      <c r="C2254" s="40" t="s">
        <v>1475</v>
      </c>
      <c r="D2254" s="74" t="s">
        <v>1269</v>
      </c>
      <c r="E2254" s="74" t="s">
        <v>1266</v>
      </c>
      <c r="F2254" s="74" t="s">
        <v>1268</v>
      </c>
      <c r="G2254" s="74" t="s">
        <v>1268</v>
      </c>
    </row>
    <row r="2255" spans="1:7" x14ac:dyDescent="0.2">
      <c r="A2255" s="40">
        <v>9132</v>
      </c>
      <c r="B2255" s="39" t="s">
        <v>1500</v>
      </c>
      <c r="C2255" s="40" t="s">
        <v>1475</v>
      </c>
      <c r="D2255" s="74" t="s">
        <v>1269</v>
      </c>
      <c r="E2255" s="74" t="s">
        <v>1266</v>
      </c>
      <c r="F2255" s="74" t="s">
        <v>1268</v>
      </c>
      <c r="G2255" s="74" t="s">
        <v>1267</v>
      </c>
    </row>
    <row r="2256" spans="1:7" x14ac:dyDescent="0.2">
      <c r="A2256" s="40">
        <v>9133</v>
      </c>
      <c r="B2256" s="39" t="s">
        <v>1501</v>
      </c>
      <c r="C2256" s="40" t="s">
        <v>1475</v>
      </c>
      <c r="D2256" s="74" t="s">
        <v>1269</v>
      </c>
      <c r="E2256" s="74" t="s">
        <v>1266</v>
      </c>
      <c r="F2256" s="74" t="s">
        <v>1268</v>
      </c>
      <c r="G2256" s="74" t="s">
        <v>1267</v>
      </c>
    </row>
    <row r="2257" spans="1:7" x14ac:dyDescent="0.2">
      <c r="A2257" s="40">
        <v>9135</v>
      </c>
      <c r="B2257" s="39" t="s">
        <v>1502</v>
      </c>
      <c r="C2257" s="40" t="s">
        <v>1475</v>
      </c>
      <c r="D2257" s="74" t="s">
        <v>1269</v>
      </c>
      <c r="E2257" s="74" t="s">
        <v>1266</v>
      </c>
      <c r="F2257" s="74" t="s">
        <v>1268</v>
      </c>
      <c r="G2257" s="74" t="s">
        <v>1268</v>
      </c>
    </row>
    <row r="2258" spans="1:7" x14ac:dyDescent="0.2">
      <c r="A2258" s="40">
        <v>9141</v>
      </c>
      <c r="B2258" s="39" t="s">
        <v>1503</v>
      </c>
      <c r="C2258" s="40" t="s">
        <v>1475</v>
      </c>
      <c r="D2258" s="74" t="s">
        <v>1269</v>
      </c>
      <c r="E2258" s="74" t="s">
        <v>1266</v>
      </c>
      <c r="F2258" s="74" t="s">
        <v>1268</v>
      </c>
      <c r="G2258" s="74" t="s">
        <v>1268</v>
      </c>
    </row>
    <row r="2259" spans="1:7" x14ac:dyDescent="0.2">
      <c r="A2259" s="40">
        <v>9142</v>
      </c>
      <c r="B2259" s="39" t="s">
        <v>1504</v>
      </c>
      <c r="C2259" s="40" t="s">
        <v>1475</v>
      </c>
      <c r="D2259" s="74" t="s">
        <v>1269</v>
      </c>
      <c r="E2259" s="74" t="s">
        <v>1266</v>
      </c>
      <c r="F2259" s="74" t="s">
        <v>1268</v>
      </c>
      <c r="G2259" s="74" t="s">
        <v>1268</v>
      </c>
    </row>
    <row r="2260" spans="1:7" x14ac:dyDescent="0.2">
      <c r="A2260" s="40">
        <v>9143</v>
      </c>
      <c r="B2260" s="39" t="s">
        <v>1505</v>
      </c>
      <c r="C2260" s="40" t="s">
        <v>1475</v>
      </c>
      <c r="D2260" s="74" t="s">
        <v>1269</v>
      </c>
      <c r="E2260" s="74" t="s">
        <v>1266</v>
      </c>
      <c r="F2260" s="74" t="s">
        <v>1268</v>
      </c>
      <c r="G2260" s="74" t="s">
        <v>1267</v>
      </c>
    </row>
    <row r="2261" spans="1:7" x14ac:dyDescent="0.2">
      <c r="A2261" s="40">
        <v>9150</v>
      </c>
      <c r="B2261" s="39" t="s">
        <v>1506</v>
      </c>
      <c r="C2261" s="40" t="s">
        <v>1475</v>
      </c>
      <c r="D2261" s="74" t="s">
        <v>1269</v>
      </c>
      <c r="E2261" s="74" t="s">
        <v>1266</v>
      </c>
      <c r="F2261" s="74" t="s">
        <v>1268</v>
      </c>
      <c r="G2261" s="74" t="s">
        <v>1268</v>
      </c>
    </row>
    <row r="2262" spans="1:7" x14ac:dyDescent="0.2">
      <c r="A2262" s="40">
        <v>9155</v>
      </c>
      <c r="B2262" s="39" t="s">
        <v>1869</v>
      </c>
      <c r="C2262" s="40" t="s">
        <v>1475</v>
      </c>
      <c r="D2262" s="74" t="s">
        <v>1269</v>
      </c>
      <c r="E2262" s="74" t="s">
        <v>1266</v>
      </c>
      <c r="F2262" s="74" t="s">
        <v>1268</v>
      </c>
      <c r="G2262" s="74" t="s">
        <v>1267</v>
      </c>
    </row>
    <row r="2263" spans="1:7" x14ac:dyDescent="0.2">
      <c r="A2263" s="40">
        <v>9161</v>
      </c>
      <c r="B2263" s="39" t="s">
        <v>1507</v>
      </c>
      <c r="C2263" s="40" t="s">
        <v>1475</v>
      </c>
      <c r="D2263" s="74" t="s">
        <v>1269</v>
      </c>
      <c r="E2263" s="74" t="s">
        <v>1266</v>
      </c>
      <c r="F2263" s="74" t="s">
        <v>1268</v>
      </c>
      <c r="G2263" s="74" t="s">
        <v>1268</v>
      </c>
    </row>
    <row r="2264" spans="1:7" x14ac:dyDescent="0.2">
      <c r="A2264" s="40">
        <v>9162</v>
      </c>
      <c r="B2264" s="39" t="s">
        <v>1508</v>
      </c>
      <c r="C2264" s="40" t="s">
        <v>1475</v>
      </c>
      <c r="D2264" s="74" t="s">
        <v>1269</v>
      </c>
      <c r="E2264" s="74" t="s">
        <v>1266</v>
      </c>
      <c r="F2264" s="74" t="s">
        <v>1268</v>
      </c>
      <c r="G2264" s="74" t="s">
        <v>1268</v>
      </c>
    </row>
    <row r="2265" spans="1:7" x14ac:dyDescent="0.2">
      <c r="A2265" s="40">
        <v>9163</v>
      </c>
      <c r="B2265" s="39" t="s">
        <v>1509</v>
      </c>
      <c r="C2265" s="40" t="s">
        <v>1475</v>
      </c>
      <c r="D2265" s="74" t="s">
        <v>1269</v>
      </c>
      <c r="E2265" s="74" t="s">
        <v>1266</v>
      </c>
      <c r="F2265" s="74" t="s">
        <v>1268</v>
      </c>
      <c r="G2265" s="74" t="s">
        <v>1267</v>
      </c>
    </row>
    <row r="2266" spans="1:7" x14ac:dyDescent="0.2">
      <c r="A2266" s="40">
        <v>9170</v>
      </c>
      <c r="B2266" s="39" t="s">
        <v>156</v>
      </c>
      <c r="C2266" s="40" t="s">
        <v>1475</v>
      </c>
      <c r="D2266" s="74" t="s">
        <v>1269</v>
      </c>
      <c r="E2266" s="74" t="s">
        <v>1266</v>
      </c>
      <c r="F2266" s="74" t="s">
        <v>1268</v>
      </c>
      <c r="G2266" s="74" t="s">
        <v>1268</v>
      </c>
    </row>
    <row r="2267" spans="1:7" x14ac:dyDescent="0.2">
      <c r="A2267" s="40">
        <v>9173</v>
      </c>
      <c r="B2267" s="39" t="s">
        <v>1510</v>
      </c>
      <c r="C2267" s="40" t="s">
        <v>1475</v>
      </c>
      <c r="D2267" s="74" t="s">
        <v>1269</v>
      </c>
      <c r="E2267" s="74" t="s">
        <v>1266</v>
      </c>
      <c r="F2267" s="74" t="s">
        <v>1268</v>
      </c>
      <c r="G2267" s="74" t="s">
        <v>1267</v>
      </c>
    </row>
    <row r="2268" spans="1:7" x14ac:dyDescent="0.2">
      <c r="A2268" s="40">
        <v>9181</v>
      </c>
      <c r="B2268" s="39" t="s">
        <v>1511</v>
      </c>
      <c r="C2268" s="40" t="s">
        <v>1475</v>
      </c>
      <c r="D2268" s="74" t="s">
        <v>1269</v>
      </c>
      <c r="E2268" s="74" t="s">
        <v>1266</v>
      </c>
      <c r="F2268" s="74" t="s">
        <v>1268</v>
      </c>
      <c r="G2268" s="74" t="s">
        <v>1268</v>
      </c>
    </row>
    <row r="2269" spans="1:7" x14ac:dyDescent="0.2">
      <c r="A2269" s="40">
        <v>9182</v>
      </c>
      <c r="B2269" s="39" t="s">
        <v>1512</v>
      </c>
      <c r="C2269" s="40" t="s">
        <v>1475</v>
      </c>
      <c r="D2269" s="74" t="s">
        <v>1269</v>
      </c>
      <c r="E2269" s="74" t="s">
        <v>1266</v>
      </c>
      <c r="F2269" s="74" t="s">
        <v>1268</v>
      </c>
      <c r="G2269" s="74" t="s">
        <v>1267</v>
      </c>
    </row>
    <row r="2270" spans="1:7" x14ac:dyDescent="0.2">
      <c r="A2270" s="40">
        <v>9183</v>
      </c>
      <c r="B2270" s="39" t="s">
        <v>1513</v>
      </c>
      <c r="C2270" s="40" t="s">
        <v>1475</v>
      </c>
      <c r="D2270" s="74" t="s">
        <v>1269</v>
      </c>
      <c r="E2270" s="74" t="s">
        <v>1266</v>
      </c>
      <c r="F2270" s="74" t="s">
        <v>1268</v>
      </c>
      <c r="G2270" s="74" t="s">
        <v>1267</v>
      </c>
    </row>
    <row r="2271" spans="1:7" x14ac:dyDescent="0.2">
      <c r="A2271" s="40">
        <v>9184</v>
      </c>
      <c r="B2271" s="39" t="s">
        <v>1514</v>
      </c>
      <c r="C2271" s="40" t="s">
        <v>1475</v>
      </c>
      <c r="D2271" s="74" t="s">
        <v>1269</v>
      </c>
      <c r="E2271" s="74" t="s">
        <v>1266</v>
      </c>
      <c r="F2271" s="74" t="s">
        <v>1268</v>
      </c>
      <c r="G2271" s="74" t="s">
        <v>1268</v>
      </c>
    </row>
    <row r="2272" spans="1:7" x14ac:dyDescent="0.2">
      <c r="A2272" s="40">
        <v>9201</v>
      </c>
      <c r="B2272" s="39" t="s">
        <v>1515</v>
      </c>
      <c r="C2272" s="40" t="s">
        <v>1475</v>
      </c>
      <c r="D2272" s="74" t="s">
        <v>1269</v>
      </c>
      <c r="E2272" s="74" t="s">
        <v>1266</v>
      </c>
      <c r="F2272" s="74" t="s">
        <v>1268</v>
      </c>
      <c r="G2272" s="74" t="s">
        <v>1268</v>
      </c>
    </row>
    <row r="2273" spans="1:7" x14ac:dyDescent="0.2">
      <c r="A2273" s="40">
        <v>9210</v>
      </c>
      <c r="B2273" s="39" t="s">
        <v>1516</v>
      </c>
      <c r="C2273" s="40" t="s">
        <v>1475</v>
      </c>
      <c r="D2273" s="74" t="s">
        <v>1269</v>
      </c>
      <c r="E2273" s="74" t="s">
        <v>1266</v>
      </c>
      <c r="F2273" s="74" t="s">
        <v>1268</v>
      </c>
      <c r="G2273" s="74" t="s">
        <v>1268</v>
      </c>
    </row>
    <row r="2274" spans="1:7" x14ac:dyDescent="0.2">
      <c r="A2274" s="40">
        <v>9212</v>
      </c>
      <c r="B2274" s="39" t="s">
        <v>1517</v>
      </c>
      <c r="C2274" s="40" t="s">
        <v>1475</v>
      </c>
      <c r="D2274" s="74" t="s">
        <v>1269</v>
      </c>
      <c r="E2274" s="74" t="s">
        <v>1266</v>
      </c>
      <c r="F2274" s="74" t="s">
        <v>1268</v>
      </c>
      <c r="G2274" s="74" t="s">
        <v>1267</v>
      </c>
    </row>
    <row r="2275" spans="1:7" x14ac:dyDescent="0.2">
      <c r="A2275" s="40">
        <v>9220</v>
      </c>
      <c r="B2275" s="39" t="s">
        <v>1518</v>
      </c>
      <c r="C2275" s="40" t="s">
        <v>1475</v>
      </c>
      <c r="D2275" s="74" t="s">
        <v>1269</v>
      </c>
      <c r="E2275" s="74" t="s">
        <v>1266</v>
      </c>
      <c r="F2275" s="74" t="s">
        <v>1268</v>
      </c>
      <c r="G2275" s="74" t="s">
        <v>1268</v>
      </c>
    </row>
    <row r="2276" spans="1:7" x14ac:dyDescent="0.2">
      <c r="A2276" s="40">
        <v>9231</v>
      </c>
      <c r="B2276" s="39" t="s">
        <v>1519</v>
      </c>
      <c r="C2276" s="40" t="s">
        <v>1475</v>
      </c>
      <c r="D2276" s="74" t="s">
        <v>1269</v>
      </c>
      <c r="E2276" s="74" t="s">
        <v>1266</v>
      </c>
      <c r="F2276" s="74" t="s">
        <v>1268</v>
      </c>
      <c r="G2276" s="74" t="s">
        <v>1267</v>
      </c>
    </row>
    <row r="2277" spans="1:7" x14ac:dyDescent="0.2">
      <c r="A2277" s="40">
        <v>9232</v>
      </c>
      <c r="B2277" s="39" t="s">
        <v>1520</v>
      </c>
      <c r="C2277" s="40" t="s">
        <v>1475</v>
      </c>
      <c r="D2277" s="74" t="s">
        <v>1269</v>
      </c>
      <c r="E2277" s="74" t="s">
        <v>1266</v>
      </c>
      <c r="F2277" s="74" t="s">
        <v>1268</v>
      </c>
      <c r="G2277" s="74" t="s">
        <v>1268</v>
      </c>
    </row>
    <row r="2278" spans="1:7" x14ac:dyDescent="0.2">
      <c r="A2278" s="40">
        <v>9241</v>
      </c>
      <c r="B2278" s="39" t="s">
        <v>1196</v>
      </c>
      <c r="C2278" s="40" t="s">
        <v>1475</v>
      </c>
      <c r="D2278" s="74" t="s">
        <v>1269</v>
      </c>
      <c r="E2278" s="74" t="s">
        <v>1266</v>
      </c>
      <c r="F2278" s="74" t="s">
        <v>1268</v>
      </c>
      <c r="G2278" s="74" t="s">
        <v>1268</v>
      </c>
    </row>
    <row r="2279" spans="1:7" x14ac:dyDescent="0.2">
      <c r="A2279" s="40">
        <v>9300</v>
      </c>
      <c r="B2279" s="39" t="s">
        <v>1197</v>
      </c>
      <c r="C2279" s="40" t="s">
        <v>1475</v>
      </c>
      <c r="D2279" s="74" t="s">
        <v>1269</v>
      </c>
      <c r="E2279" s="74" t="s">
        <v>1266</v>
      </c>
      <c r="F2279" s="74" t="s">
        <v>1268</v>
      </c>
      <c r="G2279" s="74" t="s">
        <v>1268</v>
      </c>
    </row>
    <row r="2280" spans="1:7" x14ac:dyDescent="0.2">
      <c r="A2280" s="40">
        <v>9302</v>
      </c>
      <c r="B2280" s="39" t="s">
        <v>1197</v>
      </c>
      <c r="C2280" s="40" t="s">
        <v>1475</v>
      </c>
      <c r="D2280" s="74" t="s">
        <v>1271</v>
      </c>
      <c r="E2280" s="74" t="s">
        <v>1266</v>
      </c>
      <c r="F2280" s="74" t="s">
        <v>1267</v>
      </c>
      <c r="G2280" s="74" t="s">
        <v>1268</v>
      </c>
    </row>
    <row r="2281" spans="1:7" x14ac:dyDescent="0.2">
      <c r="A2281" s="40">
        <v>9311</v>
      </c>
      <c r="B2281" s="39" t="s">
        <v>1198</v>
      </c>
      <c r="C2281" s="40" t="s">
        <v>1475</v>
      </c>
      <c r="D2281" s="74" t="s">
        <v>1269</v>
      </c>
      <c r="E2281" s="74" t="s">
        <v>1266</v>
      </c>
      <c r="F2281" s="74" t="s">
        <v>1268</v>
      </c>
      <c r="G2281" s="74" t="s">
        <v>1267</v>
      </c>
    </row>
    <row r="2282" spans="1:7" x14ac:dyDescent="0.2">
      <c r="A2282" s="40">
        <v>9312</v>
      </c>
      <c r="B2282" s="39" t="s">
        <v>1199</v>
      </c>
      <c r="C2282" s="40" t="s">
        <v>1475</v>
      </c>
      <c r="D2282" s="74" t="s">
        <v>1269</v>
      </c>
      <c r="E2282" s="74" t="s">
        <v>1266</v>
      </c>
      <c r="F2282" s="74" t="s">
        <v>1268</v>
      </c>
      <c r="G2282" s="74" t="s">
        <v>1267</v>
      </c>
    </row>
    <row r="2283" spans="1:7" x14ac:dyDescent="0.2">
      <c r="A2283" s="40">
        <v>9313</v>
      </c>
      <c r="B2283" s="39" t="s">
        <v>1200</v>
      </c>
      <c r="C2283" s="40" t="s">
        <v>1475</v>
      </c>
      <c r="D2283" s="74" t="s">
        <v>1269</v>
      </c>
      <c r="E2283" s="74" t="s">
        <v>1266</v>
      </c>
      <c r="F2283" s="74" t="s">
        <v>1268</v>
      </c>
      <c r="G2283" s="74" t="s">
        <v>1267</v>
      </c>
    </row>
    <row r="2284" spans="1:7" x14ac:dyDescent="0.2">
      <c r="A2284" s="40">
        <v>9314</v>
      </c>
      <c r="B2284" s="39" t="s">
        <v>1201</v>
      </c>
      <c r="C2284" s="40" t="s">
        <v>1475</v>
      </c>
      <c r="D2284" s="74" t="s">
        <v>1269</v>
      </c>
      <c r="E2284" s="74" t="s">
        <v>1266</v>
      </c>
      <c r="F2284" s="74" t="s">
        <v>1268</v>
      </c>
      <c r="G2284" s="74" t="s">
        <v>1268</v>
      </c>
    </row>
    <row r="2285" spans="1:7" x14ac:dyDescent="0.2">
      <c r="A2285" s="40">
        <v>9321</v>
      </c>
      <c r="B2285" s="39" t="s">
        <v>1202</v>
      </c>
      <c r="C2285" s="40" t="s">
        <v>1475</v>
      </c>
      <c r="D2285" s="74" t="s">
        <v>1269</v>
      </c>
      <c r="E2285" s="74" t="s">
        <v>1266</v>
      </c>
      <c r="F2285" s="74" t="s">
        <v>1268</v>
      </c>
      <c r="G2285" s="74" t="s">
        <v>1267</v>
      </c>
    </row>
    <row r="2286" spans="1:7" x14ac:dyDescent="0.2">
      <c r="A2286" s="40">
        <v>9322</v>
      </c>
      <c r="B2286" s="39" t="s">
        <v>1768</v>
      </c>
      <c r="C2286" s="40" t="s">
        <v>1475</v>
      </c>
      <c r="D2286" s="74" t="s">
        <v>1269</v>
      </c>
      <c r="E2286" s="74" t="s">
        <v>1266</v>
      </c>
      <c r="F2286" s="74" t="s">
        <v>1268</v>
      </c>
      <c r="G2286" s="74" t="s">
        <v>1267</v>
      </c>
    </row>
    <row r="2287" spans="1:7" x14ac:dyDescent="0.2">
      <c r="A2287" s="40">
        <v>9323</v>
      </c>
      <c r="B2287" s="39" t="s">
        <v>1203</v>
      </c>
      <c r="C2287" s="40" t="s">
        <v>2580</v>
      </c>
      <c r="D2287" s="74" t="s">
        <v>1269</v>
      </c>
      <c r="E2287" s="74" t="s">
        <v>1266</v>
      </c>
      <c r="F2287" s="74" t="s">
        <v>1268</v>
      </c>
      <c r="G2287" s="74" t="s">
        <v>1267</v>
      </c>
    </row>
    <row r="2288" spans="1:7" x14ac:dyDescent="0.2">
      <c r="A2288" s="40">
        <v>9330</v>
      </c>
      <c r="B2288" s="39" t="s">
        <v>1205</v>
      </c>
      <c r="C2288" s="40" t="s">
        <v>1475</v>
      </c>
      <c r="D2288" s="74" t="s">
        <v>1269</v>
      </c>
      <c r="E2288" s="74" t="s">
        <v>1266</v>
      </c>
      <c r="F2288" s="74" t="s">
        <v>1268</v>
      </c>
      <c r="G2288" s="74" t="s">
        <v>1268</v>
      </c>
    </row>
    <row r="2289" spans="1:7" x14ac:dyDescent="0.2">
      <c r="A2289" s="40">
        <v>9334</v>
      </c>
      <c r="B2289" s="39" t="s">
        <v>1206</v>
      </c>
      <c r="C2289" s="40" t="s">
        <v>1475</v>
      </c>
      <c r="D2289" s="74" t="s">
        <v>1269</v>
      </c>
      <c r="E2289" s="74" t="s">
        <v>1266</v>
      </c>
      <c r="F2289" s="74" t="s">
        <v>1268</v>
      </c>
      <c r="G2289" s="74" t="s">
        <v>1267</v>
      </c>
    </row>
    <row r="2290" spans="1:7" x14ac:dyDescent="0.2">
      <c r="A2290" s="40">
        <v>9335</v>
      </c>
      <c r="B2290" s="39" t="s">
        <v>1207</v>
      </c>
      <c r="C2290" s="40" t="s">
        <v>1475</v>
      </c>
      <c r="D2290" s="74" t="s">
        <v>1269</v>
      </c>
      <c r="E2290" s="74" t="s">
        <v>1266</v>
      </c>
      <c r="F2290" s="74" t="s">
        <v>1268</v>
      </c>
      <c r="G2290" s="74" t="s">
        <v>1267</v>
      </c>
    </row>
    <row r="2291" spans="1:7" x14ac:dyDescent="0.2">
      <c r="A2291" s="40">
        <v>9341</v>
      </c>
      <c r="B2291" s="39" t="s">
        <v>1208</v>
      </c>
      <c r="C2291" s="40" t="s">
        <v>1475</v>
      </c>
      <c r="D2291" s="74" t="s">
        <v>1269</v>
      </c>
      <c r="E2291" s="74" t="s">
        <v>1266</v>
      </c>
      <c r="F2291" s="74" t="s">
        <v>1268</v>
      </c>
      <c r="G2291" s="74" t="s">
        <v>1268</v>
      </c>
    </row>
    <row r="2292" spans="1:7" x14ac:dyDescent="0.2">
      <c r="A2292" s="40">
        <v>9342</v>
      </c>
      <c r="B2292" s="39" t="s">
        <v>1209</v>
      </c>
      <c r="C2292" s="40" t="s">
        <v>1475</v>
      </c>
      <c r="D2292" s="74" t="s">
        <v>1269</v>
      </c>
      <c r="E2292" s="74" t="s">
        <v>1266</v>
      </c>
      <c r="F2292" s="74" t="s">
        <v>1268</v>
      </c>
      <c r="G2292" s="74" t="s">
        <v>1267</v>
      </c>
    </row>
    <row r="2293" spans="1:7" x14ac:dyDescent="0.2">
      <c r="A2293" s="40">
        <v>9343</v>
      </c>
      <c r="B2293" s="39" t="s">
        <v>1210</v>
      </c>
      <c r="C2293" s="40" t="s">
        <v>1475</v>
      </c>
      <c r="D2293" s="74" t="s">
        <v>1269</v>
      </c>
      <c r="E2293" s="74" t="s">
        <v>1266</v>
      </c>
      <c r="F2293" s="74" t="s">
        <v>1268</v>
      </c>
      <c r="G2293" s="74" t="s">
        <v>1267</v>
      </c>
    </row>
    <row r="2294" spans="1:7" x14ac:dyDescent="0.2">
      <c r="A2294" s="40">
        <v>9344</v>
      </c>
      <c r="B2294" s="39" t="s">
        <v>1211</v>
      </c>
      <c r="C2294" s="40" t="s">
        <v>1475</v>
      </c>
      <c r="D2294" s="74" t="s">
        <v>1269</v>
      </c>
      <c r="E2294" s="74" t="s">
        <v>1266</v>
      </c>
      <c r="F2294" s="74" t="s">
        <v>1268</v>
      </c>
      <c r="G2294" s="74" t="s">
        <v>1268</v>
      </c>
    </row>
    <row r="2295" spans="1:7" x14ac:dyDescent="0.2">
      <c r="A2295" s="40">
        <v>9345</v>
      </c>
      <c r="B2295" s="39" t="s">
        <v>1212</v>
      </c>
      <c r="C2295" s="40" t="s">
        <v>1475</v>
      </c>
      <c r="D2295" s="74" t="s">
        <v>1269</v>
      </c>
      <c r="E2295" s="74" t="s">
        <v>1266</v>
      </c>
      <c r="F2295" s="74" t="s">
        <v>1268</v>
      </c>
      <c r="G2295" s="74" t="s">
        <v>1267</v>
      </c>
    </row>
    <row r="2296" spans="1:7" x14ac:dyDescent="0.2">
      <c r="A2296" s="40">
        <v>9346</v>
      </c>
      <c r="B2296" s="39" t="s">
        <v>1213</v>
      </c>
      <c r="C2296" s="40" t="s">
        <v>1475</v>
      </c>
      <c r="D2296" s="74" t="s">
        <v>1269</v>
      </c>
      <c r="E2296" s="74" t="s">
        <v>1266</v>
      </c>
      <c r="F2296" s="74" t="s">
        <v>1268</v>
      </c>
      <c r="G2296" s="74" t="s">
        <v>1267</v>
      </c>
    </row>
    <row r="2297" spans="1:7" x14ac:dyDescent="0.2">
      <c r="A2297" s="40">
        <v>9360</v>
      </c>
      <c r="B2297" s="39" t="s">
        <v>1214</v>
      </c>
      <c r="C2297" s="40" t="s">
        <v>1475</v>
      </c>
      <c r="D2297" s="74" t="s">
        <v>1269</v>
      </c>
      <c r="E2297" s="74" t="s">
        <v>1266</v>
      </c>
      <c r="F2297" s="74" t="s">
        <v>1268</v>
      </c>
      <c r="G2297" s="74" t="s">
        <v>1268</v>
      </c>
    </row>
    <row r="2298" spans="1:7" x14ac:dyDescent="0.2">
      <c r="A2298" s="40">
        <v>9361</v>
      </c>
      <c r="B2298" s="39" t="s">
        <v>1215</v>
      </c>
      <c r="C2298" s="40" t="s">
        <v>1475</v>
      </c>
      <c r="D2298" s="74" t="s">
        <v>1269</v>
      </c>
      <c r="E2298" s="74" t="s">
        <v>1266</v>
      </c>
      <c r="F2298" s="74" t="s">
        <v>1268</v>
      </c>
      <c r="G2298" s="74" t="s">
        <v>1267</v>
      </c>
    </row>
    <row r="2299" spans="1:7" x14ac:dyDescent="0.2">
      <c r="A2299" s="40">
        <v>9362</v>
      </c>
      <c r="B2299" s="39" t="s">
        <v>1216</v>
      </c>
      <c r="C2299" s="40" t="s">
        <v>1475</v>
      </c>
      <c r="D2299" s="74" t="s">
        <v>1269</v>
      </c>
      <c r="E2299" s="74" t="s">
        <v>1266</v>
      </c>
      <c r="F2299" s="74" t="s">
        <v>1268</v>
      </c>
      <c r="G2299" s="74" t="s">
        <v>1267</v>
      </c>
    </row>
    <row r="2300" spans="1:7" x14ac:dyDescent="0.2">
      <c r="A2300" s="40">
        <v>9363</v>
      </c>
      <c r="B2300" s="39" t="s">
        <v>1217</v>
      </c>
      <c r="C2300" s="40" t="s">
        <v>1475</v>
      </c>
      <c r="D2300" s="74" t="s">
        <v>1269</v>
      </c>
      <c r="E2300" s="74" t="s">
        <v>1266</v>
      </c>
      <c r="F2300" s="74" t="s">
        <v>1268</v>
      </c>
      <c r="G2300" s="74" t="s">
        <v>1268</v>
      </c>
    </row>
    <row r="2301" spans="1:7" x14ac:dyDescent="0.2">
      <c r="A2301" s="40">
        <v>9371</v>
      </c>
      <c r="B2301" s="39" t="s">
        <v>1218</v>
      </c>
      <c r="C2301" s="40" t="s">
        <v>1475</v>
      </c>
      <c r="D2301" s="74" t="s">
        <v>1269</v>
      </c>
      <c r="E2301" s="74" t="s">
        <v>1266</v>
      </c>
      <c r="F2301" s="74" t="s">
        <v>1268</v>
      </c>
      <c r="G2301" s="74" t="s">
        <v>1268</v>
      </c>
    </row>
    <row r="2302" spans="1:7" x14ac:dyDescent="0.2">
      <c r="A2302" s="40">
        <v>9372</v>
      </c>
      <c r="B2302" s="39" t="s">
        <v>1219</v>
      </c>
      <c r="C2302" s="40" t="s">
        <v>1475</v>
      </c>
      <c r="D2302" s="74" t="s">
        <v>1269</v>
      </c>
      <c r="E2302" s="74" t="s">
        <v>1266</v>
      </c>
      <c r="F2302" s="74" t="s">
        <v>1268</v>
      </c>
      <c r="G2302" s="74" t="s">
        <v>1267</v>
      </c>
    </row>
    <row r="2303" spans="1:7" x14ac:dyDescent="0.2">
      <c r="A2303" s="40">
        <v>9373</v>
      </c>
      <c r="B2303" s="39" t="s">
        <v>1220</v>
      </c>
      <c r="C2303" s="40" t="s">
        <v>1475</v>
      </c>
      <c r="D2303" s="74" t="s">
        <v>1269</v>
      </c>
      <c r="E2303" s="74" t="s">
        <v>1266</v>
      </c>
      <c r="F2303" s="74" t="s">
        <v>1268</v>
      </c>
      <c r="G2303" s="74" t="s">
        <v>1268</v>
      </c>
    </row>
    <row r="2304" spans="1:7" x14ac:dyDescent="0.2">
      <c r="A2304" s="40">
        <v>9374</v>
      </c>
      <c r="B2304" s="39" t="s">
        <v>1221</v>
      </c>
      <c r="C2304" s="40" t="s">
        <v>1475</v>
      </c>
      <c r="D2304" s="74" t="s">
        <v>1269</v>
      </c>
      <c r="E2304" s="74" t="s">
        <v>1266</v>
      </c>
      <c r="F2304" s="74" t="s">
        <v>1268</v>
      </c>
      <c r="G2304" s="74" t="s">
        <v>1267</v>
      </c>
    </row>
    <row r="2305" spans="1:7" x14ac:dyDescent="0.2">
      <c r="A2305" s="40">
        <v>9375</v>
      </c>
      <c r="B2305" s="39" t="s">
        <v>1222</v>
      </c>
      <c r="C2305" s="40" t="s">
        <v>1475</v>
      </c>
      <c r="D2305" s="74" t="s">
        <v>1269</v>
      </c>
      <c r="E2305" s="74" t="s">
        <v>1266</v>
      </c>
      <c r="F2305" s="74" t="s">
        <v>1268</v>
      </c>
      <c r="G2305" s="74" t="s">
        <v>1268</v>
      </c>
    </row>
    <row r="2306" spans="1:7" x14ac:dyDescent="0.2">
      <c r="A2306" s="40">
        <v>9376</v>
      </c>
      <c r="B2306" s="39" t="s">
        <v>1223</v>
      </c>
      <c r="C2306" s="40" t="s">
        <v>1475</v>
      </c>
      <c r="D2306" s="74" t="s">
        <v>1269</v>
      </c>
      <c r="E2306" s="74" t="s">
        <v>1266</v>
      </c>
      <c r="F2306" s="74" t="s">
        <v>1268</v>
      </c>
      <c r="G2306" s="74" t="s">
        <v>1267</v>
      </c>
    </row>
    <row r="2307" spans="1:7" x14ac:dyDescent="0.2">
      <c r="A2307" s="40">
        <v>9400</v>
      </c>
      <c r="B2307" s="39" t="s">
        <v>1249</v>
      </c>
      <c r="C2307" s="40" t="s">
        <v>1475</v>
      </c>
      <c r="D2307" s="74" t="s">
        <v>1269</v>
      </c>
      <c r="E2307" s="74" t="s">
        <v>1266</v>
      </c>
      <c r="F2307" s="74" t="s">
        <v>1268</v>
      </c>
      <c r="G2307" s="74" t="s">
        <v>1268</v>
      </c>
    </row>
    <row r="2308" spans="1:7" x14ac:dyDescent="0.2">
      <c r="A2308" s="40">
        <v>9402</v>
      </c>
      <c r="B2308" s="39" t="s">
        <v>1224</v>
      </c>
      <c r="C2308" s="40" t="s">
        <v>1475</v>
      </c>
      <c r="D2308" s="74" t="s">
        <v>1271</v>
      </c>
      <c r="E2308" s="74" t="s">
        <v>1266</v>
      </c>
      <c r="F2308" s="74" t="s">
        <v>1267</v>
      </c>
      <c r="G2308" s="74" t="s">
        <v>1268</v>
      </c>
    </row>
    <row r="2309" spans="1:7" x14ac:dyDescent="0.2">
      <c r="A2309" s="40">
        <v>9411</v>
      </c>
      <c r="B2309" s="39" t="s">
        <v>1225</v>
      </c>
      <c r="C2309" s="40" t="s">
        <v>1475</v>
      </c>
      <c r="D2309" s="74" t="s">
        <v>1269</v>
      </c>
      <c r="E2309" s="74" t="s">
        <v>1266</v>
      </c>
      <c r="F2309" s="74" t="s">
        <v>1268</v>
      </c>
      <c r="G2309" s="74" t="s">
        <v>1267</v>
      </c>
    </row>
    <row r="2310" spans="1:7" x14ac:dyDescent="0.2">
      <c r="A2310" s="40">
        <v>9412</v>
      </c>
      <c r="B2310" s="39" t="s">
        <v>1226</v>
      </c>
      <c r="C2310" s="40" t="s">
        <v>1475</v>
      </c>
      <c r="D2310" s="74" t="s">
        <v>1269</v>
      </c>
      <c r="E2310" s="74" t="s">
        <v>1266</v>
      </c>
      <c r="F2310" s="74" t="s">
        <v>1268</v>
      </c>
      <c r="G2310" s="74" t="s">
        <v>1267</v>
      </c>
    </row>
    <row r="2311" spans="1:7" x14ac:dyDescent="0.2">
      <c r="A2311" s="40">
        <v>9413</v>
      </c>
      <c r="B2311" s="39" t="s">
        <v>1227</v>
      </c>
      <c r="C2311" s="40" t="s">
        <v>1475</v>
      </c>
      <c r="D2311" s="74" t="s">
        <v>1269</v>
      </c>
      <c r="E2311" s="74" t="s">
        <v>1266</v>
      </c>
      <c r="F2311" s="74" t="s">
        <v>1268</v>
      </c>
      <c r="G2311" s="74" t="s">
        <v>1267</v>
      </c>
    </row>
    <row r="2312" spans="1:7" x14ac:dyDescent="0.2">
      <c r="A2312" s="40">
        <v>9421</v>
      </c>
      <c r="B2312" s="39" t="s">
        <v>1228</v>
      </c>
      <c r="C2312" s="40" t="s">
        <v>1475</v>
      </c>
      <c r="D2312" s="74" t="s">
        <v>1269</v>
      </c>
      <c r="E2312" s="74" t="s">
        <v>1266</v>
      </c>
      <c r="F2312" s="74" t="s">
        <v>1268</v>
      </c>
      <c r="G2312" s="74" t="s">
        <v>1268</v>
      </c>
    </row>
    <row r="2313" spans="1:7" x14ac:dyDescent="0.2">
      <c r="A2313" s="40">
        <v>9422</v>
      </c>
      <c r="B2313" s="39" t="s">
        <v>1229</v>
      </c>
      <c r="C2313" s="40" t="s">
        <v>1475</v>
      </c>
      <c r="D2313" s="74" t="s">
        <v>1269</v>
      </c>
      <c r="E2313" s="74" t="s">
        <v>1266</v>
      </c>
      <c r="F2313" s="74" t="s">
        <v>1268</v>
      </c>
      <c r="G2313" s="74" t="s">
        <v>1267</v>
      </c>
    </row>
    <row r="2314" spans="1:7" x14ac:dyDescent="0.2">
      <c r="A2314" s="40">
        <v>9423</v>
      </c>
      <c r="B2314" s="39" t="s">
        <v>1230</v>
      </c>
      <c r="C2314" s="40" t="s">
        <v>1475</v>
      </c>
      <c r="D2314" s="74" t="s">
        <v>1269</v>
      </c>
      <c r="E2314" s="74" t="s">
        <v>1266</v>
      </c>
      <c r="F2314" s="74" t="s">
        <v>1268</v>
      </c>
      <c r="G2314" s="74" t="s">
        <v>1267</v>
      </c>
    </row>
    <row r="2315" spans="1:7" x14ac:dyDescent="0.2">
      <c r="A2315" s="40">
        <v>9431</v>
      </c>
      <c r="B2315" s="39" t="s">
        <v>1231</v>
      </c>
      <c r="C2315" s="40" t="s">
        <v>1475</v>
      </c>
      <c r="D2315" s="74" t="s">
        <v>1269</v>
      </c>
      <c r="E2315" s="74" t="s">
        <v>1266</v>
      </c>
      <c r="F2315" s="74" t="s">
        <v>1268</v>
      </c>
      <c r="G2315" s="74" t="s">
        <v>1268</v>
      </c>
    </row>
    <row r="2316" spans="1:7" x14ac:dyDescent="0.2">
      <c r="A2316" s="40">
        <v>9433</v>
      </c>
      <c r="B2316" s="39" t="s">
        <v>1232</v>
      </c>
      <c r="C2316" s="40" t="s">
        <v>1475</v>
      </c>
      <c r="D2316" s="74" t="s">
        <v>1269</v>
      </c>
      <c r="E2316" s="74" t="s">
        <v>1266</v>
      </c>
      <c r="F2316" s="74" t="s">
        <v>1268</v>
      </c>
      <c r="G2316" s="74" t="s">
        <v>1268</v>
      </c>
    </row>
    <row r="2317" spans="1:7" x14ac:dyDescent="0.2">
      <c r="A2317" s="40">
        <v>9441</v>
      </c>
      <c r="B2317" s="39" t="s">
        <v>1233</v>
      </c>
      <c r="C2317" s="40" t="s">
        <v>1475</v>
      </c>
      <c r="D2317" s="74" t="s">
        <v>1269</v>
      </c>
      <c r="E2317" s="74" t="s">
        <v>1266</v>
      </c>
      <c r="F2317" s="74" t="s">
        <v>1268</v>
      </c>
      <c r="G2317" s="74" t="s">
        <v>1267</v>
      </c>
    </row>
    <row r="2318" spans="1:7" x14ac:dyDescent="0.2">
      <c r="A2318" s="40">
        <v>9451</v>
      </c>
      <c r="B2318" s="39" t="s">
        <v>1234</v>
      </c>
      <c r="C2318" s="40" t="s">
        <v>1475</v>
      </c>
      <c r="D2318" s="74" t="s">
        <v>1269</v>
      </c>
      <c r="E2318" s="74" t="s">
        <v>1266</v>
      </c>
      <c r="F2318" s="74" t="s">
        <v>1268</v>
      </c>
      <c r="G2318" s="74" t="s">
        <v>1267</v>
      </c>
    </row>
    <row r="2319" spans="1:7" x14ac:dyDescent="0.2">
      <c r="A2319" s="40">
        <v>9461</v>
      </c>
      <c r="B2319" s="39" t="s">
        <v>1235</v>
      </c>
      <c r="C2319" s="40" t="s">
        <v>1475</v>
      </c>
      <c r="D2319" s="74" t="s">
        <v>1269</v>
      </c>
      <c r="E2319" s="74" t="s">
        <v>1266</v>
      </c>
      <c r="F2319" s="74" t="s">
        <v>1268</v>
      </c>
      <c r="G2319" s="74" t="s">
        <v>1267</v>
      </c>
    </row>
    <row r="2320" spans="1:7" x14ac:dyDescent="0.2">
      <c r="A2320" s="40">
        <v>9462</v>
      </c>
      <c r="B2320" s="39" t="s">
        <v>1236</v>
      </c>
      <c r="C2320" s="40" t="s">
        <v>1475</v>
      </c>
      <c r="D2320" s="74" t="s">
        <v>1269</v>
      </c>
      <c r="E2320" s="74" t="s">
        <v>1266</v>
      </c>
      <c r="F2320" s="74" t="s">
        <v>1268</v>
      </c>
      <c r="G2320" s="74" t="s">
        <v>1268</v>
      </c>
    </row>
    <row r="2321" spans="1:7" x14ac:dyDescent="0.2">
      <c r="A2321" s="40">
        <v>9463</v>
      </c>
      <c r="B2321" s="39" t="s">
        <v>1237</v>
      </c>
      <c r="C2321" s="40" t="s">
        <v>1475</v>
      </c>
      <c r="D2321" s="74" t="s">
        <v>1269</v>
      </c>
      <c r="E2321" s="74" t="s">
        <v>1266</v>
      </c>
      <c r="F2321" s="74" t="s">
        <v>1268</v>
      </c>
      <c r="G2321" s="74" t="s">
        <v>1267</v>
      </c>
    </row>
    <row r="2322" spans="1:7" x14ac:dyDescent="0.2">
      <c r="A2322" s="40">
        <v>9470</v>
      </c>
      <c r="B2322" s="39" t="s">
        <v>1238</v>
      </c>
      <c r="C2322" s="40" t="s">
        <v>1475</v>
      </c>
      <c r="D2322" s="74" t="s">
        <v>1269</v>
      </c>
      <c r="E2322" s="74" t="s">
        <v>1266</v>
      </c>
      <c r="F2322" s="74" t="s">
        <v>1268</v>
      </c>
      <c r="G2322" s="74" t="s">
        <v>1268</v>
      </c>
    </row>
    <row r="2323" spans="1:7" x14ac:dyDescent="0.2">
      <c r="A2323" s="40">
        <v>9472</v>
      </c>
      <c r="B2323" s="39" t="s">
        <v>1239</v>
      </c>
      <c r="C2323" s="40" t="s">
        <v>1475</v>
      </c>
      <c r="D2323" s="74" t="s">
        <v>1269</v>
      </c>
      <c r="E2323" s="74" t="s">
        <v>1266</v>
      </c>
      <c r="F2323" s="74" t="s">
        <v>1268</v>
      </c>
      <c r="G2323" s="74" t="s">
        <v>1267</v>
      </c>
    </row>
    <row r="2324" spans="1:7" x14ac:dyDescent="0.2">
      <c r="A2324" s="40">
        <v>9473</v>
      </c>
      <c r="B2324" s="39" t="s">
        <v>1521</v>
      </c>
      <c r="C2324" s="40" t="s">
        <v>1475</v>
      </c>
      <c r="D2324" s="74" t="s">
        <v>1269</v>
      </c>
      <c r="E2324" s="74" t="s">
        <v>1266</v>
      </c>
      <c r="F2324" s="74" t="s">
        <v>1268</v>
      </c>
      <c r="G2324" s="74" t="s">
        <v>1268</v>
      </c>
    </row>
    <row r="2325" spans="1:7" x14ac:dyDescent="0.2">
      <c r="A2325" s="40">
        <v>9500</v>
      </c>
      <c r="B2325" s="39" t="s">
        <v>278</v>
      </c>
      <c r="C2325" s="40" t="s">
        <v>1475</v>
      </c>
      <c r="D2325" s="74" t="s">
        <v>1269</v>
      </c>
      <c r="E2325" s="74" t="s">
        <v>1266</v>
      </c>
      <c r="F2325" s="74" t="s">
        <v>1268</v>
      </c>
      <c r="G2325" s="74" t="s">
        <v>1268</v>
      </c>
    </row>
    <row r="2326" spans="1:7" x14ac:dyDescent="0.2">
      <c r="A2326" s="40">
        <v>9501</v>
      </c>
      <c r="B2326" s="39" t="s">
        <v>278</v>
      </c>
      <c r="C2326" s="40" t="s">
        <v>1475</v>
      </c>
      <c r="D2326" s="74" t="s">
        <v>1271</v>
      </c>
      <c r="E2326" s="74" t="s">
        <v>1266</v>
      </c>
      <c r="F2326" s="74" t="s">
        <v>1267</v>
      </c>
      <c r="G2326" s="74" t="s">
        <v>1268</v>
      </c>
    </row>
    <row r="2327" spans="1:7" x14ac:dyDescent="0.2">
      <c r="A2327" s="40">
        <v>9503</v>
      </c>
      <c r="B2327" s="39" t="s">
        <v>278</v>
      </c>
      <c r="C2327" s="40" t="s">
        <v>1475</v>
      </c>
      <c r="D2327" s="74" t="s">
        <v>1271</v>
      </c>
      <c r="E2327" s="74" t="s">
        <v>1266</v>
      </c>
      <c r="F2327" s="74" t="s">
        <v>1267</v>
      </c>
      <c r="G2327" s="74" t="s">
        <v>1268</v>
      </c>
    </row>
    <row r="2328" spans="1:7" x14ac:dyDescent="0.2">
      <c r="A2328" s="40">
        <v>9504</v>
      </c>
      <c r="B2328" s="39" t="s">
        <v>1522</v>
      </c>
      <c r="C2328" s="40" t="s">
        <v>1475</v>
      </c>
      <c r="D2328" s="74" t="s">
        <v>1269</v>
      </c>
      <c r="E2328" s="74" t="s">
        <v>1266</v>
      </c>
      <c r="F2328" s="74" t="s">
        <v>1268</v>
      </c>
      <c r="G2328" s="74" t="s">
        <v>1267</v>
      </c>
    </row>
    <row r="2329" spans="1:7" x14ac:dyDescent="0.2">
      <c r="A2329" s="40">
        <v>9505</v>
      </c>
      <c r="B2329" s="39" t="s">
        <v>278</v>
      </c>
      <c r="C2329" s="40" t="s">
        <v>1475</v>
      </c>
      <c r="D2329" s="74" t="s">
        <v>1271</v>
      </c>
      <c r="E2329" s="74" t="s">
        <v>1266</v>
      </c>
      <c r="F2329" s="74" t="s">
        <v>1267</v>
      </c>
      <c r="G2329" s="74" t="s">
        <v>1268</v>
      </c>
    </row>
    <row r="2330" spans="1:7" x14ac:dyDescent="0.2">
      <c r="A2330" s="40">
        <v>9506</v>
      </c>
      <c r="B2330" s="39" t="s">
        <v>278</v>
      </c>
      <c r="C2330" s="40" t="s">
        <v>1475</v>
      </c>
      <c r="D2330" s="74" t="s">
        <v>1271</v>
      </c>
      <c r="E2330" s="74" t="s">
        <v>1266</v>
      </c>
      <c r="F2330" s="74" t="s">
        <v>1267</v>
      </c>
      <c r="G2330" s="74" t="s">
        <v>1268</v>
      </c>
    </row>
    <row r="2331" spans="1:7" x14ac:dyDescent="0.2">
      <c r="A2331" s="40">
        <v>9507</v>
      </c>
      <c r="B2331" s="39" t="s">
        <v>278</v>
      </c>
      <c r="C2331" s="40" t="s">
        <v>1475</v>
      </c>
      <c r="D2331" s="74" t="s">
        <v>1271</v>
      </c>
      <c r="E2331" s="74" t="s">
        <v>1266</v>
      </c>
      <c r="F2331" s="74" t="s">
        <v>1267</v>
      </c>
      <c r="G2331" s="74" t="s">
        <v>1268</v>
      </c>
    </row>
    <row r="2332" spans="1:7" x14ac:dyDescent="0.2">
      <c r="A2332" s="40">
        <v>9508</v>
      </c>
      <c r="B2332" s="39" t="s">
        <v>278</v>
      </c>
      <c r="C2332" s="40" t="s">
        <v>1475</v>
      </c>
      <c r="D2332" s="74" t="s">
        <v>1271</v>
      </c>
      <c r="E2332" s="74" t="s">
        <v>1266</v>
      </c>
      <c r="F2332" s="74" t="s">
        <v>1267</v>
      </c>
      <c r="G2332" s="74" t="s">
        <v>1268</v>
      </c>
    </row>
    <row r="2333" spans="1:7" x14ac:dyDescent="0.2">
      <c r="A2333" s="40">
        <v>9520</v>
      </c>
      <c r="B2333" s="39" t="s">
        <v>1523</v>
      </c>
      <c r="C2333" s="40" t="s">
        <v>1475</v>
      </c>
      <c r="D2333" s="74" t="s">
        <v>1269</v>
      </c>
      <c r="E2333" s="74" t="s">
        <v>1266</v>
      </c>
      <c r="F2333" s="74" t="s">
        <v>1268</v>
      </c>
      <c r="G2333" s="74" t="s">
        <v>1267</v>
      </c>
    </row>
    <row r="2334" spans="1:7" x14ac:dyDescent="0.2">
      <c r="A2334" s="40">
        <v>9521</v>
      </c>
      <c r="B2334" s="39" t="s">
        <v>1524</v>
      </c>
      <c r="C2334" s="40" t="s">
        <v>1475</v>
      </c>
      <c r="D2334" s="74" t="s">
        <v>1269</v>
      </c>
      <c r="E2334" s="74" t="s">
        <v>1266</v>
      </c>
      <c r="F2334" s="74" t="s">
        <v>1268</v>
      </c>
      <c r="G2334" s="74" t="s">
        <v>1268</v>
      </c>
    </row>
    <row r="2335" spans="1:7" x14ac:dyDescent="0.2">
      <c r="A2335" s="40">
        <v>9523</v>
      </c>
      <c r="B2335" s="39" t="s">
        <v>1525</v>
      </c>
      <c r="C2335" s="40" t="s">
        <v>1475</v>
      </c>
      <c r="D2335" s="74" t="s">
        <v>1269</v>
      </c>
      <c r="E2335" s="74" t="s">
        <v>1266</v>
      </c>
      <c r="F2335" s="74" t="s">
        <v>1268</v>
      </c>
      <c r="G2335" s="74" t="s">
        <v>1268</v>
      </c>
    </row>
    <row r="2336" spans="1:7" x14ac:dyDescent="0.2">
      <c r="A2336" s="40">
        <v>9524</v>
      </c>
      <c r="B2336" s="39" t="s">
        <v>1526</v>
      </c>
      <c r="C2336" s="40" t="s">
        <v>1475</v>
      </c>
      <c r="D2336" s="74" t="s">
        <v>1269</v>
      </c>
      <c r="E2336" s="74" t="s">
        <v>1266</v>
      </c>
      <c r="F2336" s="74" t="s">
        <v>1268</v>
      </c>
      <c r="G2336" s="74" t="s">
        <v>1268</v>
      </c>
    </row>
    <row r="2337" spans="1:7" x14ac:dyDescent="0.2">
      <c r="A2337" s="40">
        <v>9530</v>
      </c>
      <c r="B2337" s="39" t="s">
        <v>1527</v>
      </c>
      <c r="C2337" s="40" t="s">
        <v>1475</v>
      </c>
      <c r="D2337" s="74" t="s">
        <v>1269</v>
      </c>
      <c r="E2337" s="74" t="s">
        <v>1266</v>
      </c>
      <c r="F2337" s="74" t="s">
        <v>1268</v>
      </c>
      <c r="G2337" s="74" t="s">
        <v>1268</v>
      </c>
    </row>
    <row r="2338" spans="1:7" x14ac:dyDescent="0.2">
      <c r="A2338" s="40">
        <v>9531</v>
      </c>
      <c r="B2338" s="39" t="s">
        <v>1528</v>
      </c>
      <c r="C2338" s="40" t="s">
        <v>1475</v>
      </c>
      <c r="D2338" s="74" t="s">
        <v>1269</v>
      </c>
      <c r="E2338" s="74" t="s">
        <v>1266</v>
      </c>
      <c r="F2338" s="74" t="s">
        <v>1268</v>
      </c>
      <c r="G2338" s="74" t="s">
        <v>1267</v>
      </c>
    </row>
    <row r="2339" spans="1:7" x14ac:dyDescent="0.2">
      <c r="A2339" s="40">
        <v>9535</v>
      </c>
      <c r="B2339" s="39" t="s">
        <v>1529</v>
      </c>
      <c r="C2339" s="40" t="s">
        <v>1475</v>
      </c>
      <c r="D2339" s="74" t="s">
        <v>1269</v>
      </c>
      <c r="E2339" s="74" t="s">
        <v>1266</v>
      </c>
      <c r="F2339" s="74" t="s">
        <v>1268</v>
      </c>
      <c r="G2339" s="74" t="s">
        <v>1268</v>
      </c>
    </row>
    <row r="2340" spans="1:7" x14ac:dyDescent="0.2">
      <c r="A2340" s="40">
        <v>9536</v>
      </c>
      <c r="B2340" s="39" t="s">
        <v>1530</v>
      </c>
      <c r="C2340" s="40" t="s">
        <v>1475</v>
      </c>
      <c r="D2340" s="74" t="s">
        <v>1269</v>
      </c>
      <c r="E2340" s="74" t="s">
        <v>1266</v>
      </c>
      <c r="F2340" s="74" t="s">
        <v>1268</v>
      </c>
      <c r="G2340" s="74" t="s">
        <v>1267</v>
      </c>
    </row>
    <row r="2341" spans="1:7" x14ac:dyDescent="0.2">
      <c r="A2341" s="40">
        <v>9541</v>
      </c>
      <c r="B2341" s="39" t="s">
        <v>1531</v>
      </c>
      <c r="C2341" s="40" t="s">
        <v>1475</v>
      </c>
      <c r="D2341" s="74" t="s">
        <v>1269</v>
      </c>
      <c r="E2341" s="74" t="s">
        <v>1266</v>
      </c>
      <c r="F2341" s="74" t="s">
        <v>1268</v>
      </c>
      <c r="G2341" s="74" t="s">
        <v>1267</v>
      </c>
    </row>
    <row r="2342" spans="1:7" x14ac:dyDescent="0.2">
      <c r="A2342" s="40">
        <v>9542</v>
      </c>
      <c r="B2342" s="39" t="s">
        <v>1532</v>
      </c>
      <c r="C2342" s="40" t="s">
        <v>1475</v>
      </c>
      <c r="D2342" s="74" t="s">
        <v>1269</v>
      </c>
      <c r="E2342" s="74" t="s">
        <v>1266</v>
      </c>
      <c r="F2342" s="74" t="s">
        <v>1268</v>
      </c>
      <c r="G2342" s="74" t="s">
        <v>1268</v>
      </c>
    </row>
    <row r="2343" spans="1:7" x14ac:dyDescent="0.2">
      <c r="A2343" s="40">
        <v>9543</v>
      </c>
      <c r="B2343" s="39" t="s">
        <v>123</v>
      </c>
      <c r="C2343" s="40" t="s">
        <v>1475</v>
      </c>
      <c r="D2343" s="74" t="s">
        <v>1269</v>
      </c>
      <c r="E2343" s="74" t="s">
        <v>1266</v>
      </c>
      <c r="F2343" s="74" t="s">
        <v>1268</v>
      </c>
      <c r="G2343" s="74" t="s">
        <v>1267</v>
      </c>
    </row>
    <row r="2344" spans="1:7" x14ac:dyDescent="0.2">
      <c r="A2344" s="40">
        <v>9544</v>
      </c>
      <c r="B2344" s="39" t="s">
        <v>1533</v>
      </c>
      <c r="C2344" s="40" t="s">
        <v>1475</v>
      </c>
      <c r="D2344" s="74" t="s">
        <v>1269</v>
      </c>
      <c r="E2344" s="74" t="s">
        <v>1266</v>
      </c>
      <c r="F2344" s="74" t="s">
        <v>1268</v>
      </c>
      <c r="G2344" s="74" t="s">
        <v>1267</v>
      </c>
    </row>
    <row r="2345" spans="1:7" x14ac:dyDescent="0.2">
      <c r="A2345" s="40">
        <v>9545</v>
      </c>
      <c r="B2345" s="39" t="s">
        <v>1534</v>
      </c>
      <c r="C2345" s="40" t="s">
        <v>1475</v>
      </c>
      <c r="D2345" s="74" t="s">
        <v>1269</v>
      </c>
      <c r="E2345" s="74" t="s">
        <v>1266</v>
      </c>
      <c r="F2345" s="74" t="s">
        <v>1268</v>
      </c>
      <c r="G2345" s="74" t="s">
        <v>1268</v>
      </c>
    </row>
    <row r="2346" spans="1:7" x14ac:dyDescent="0.2">
      <c r="A2346" s="40">
        <v>9546</v>
      </c>
      <c r="B2346" s="39" t="s">
        <v>1535</v>
      </c>
      <c r="C2346" s="40" t="s">
        <v>1475</v>
      </c>
      <c r="D2346" s="74" t="s">
        <v>1269</v>
      </c>
      <c r="E2346" s="74" t="s">
        <v>1266</v>
      </c>
      <c r="F2346" s="74" t="s">
        <v>1268</v>
      </c>
      <c r="G2346" s="74" t="s">
        <v>1268</v>
      </c>
    </row>
    <row r="2347" spans="1:7" x14ac:dyDescent="0.2">
      <c r="A2347" s="40">
        <v>9551</v>
      </c>
      <c r="B2347" s="39" t="s">
        <v>1536</v>
      </c>
      <c r="C2347" s="40" t="s">
        <v>1475</v>
      </c>
      <c r="D2347" s="74" t="s">
        <v>1269</v>
      </c>
      <c r="E2347" s="74" t="s">
        <v>1266</v>
      </c>
      <c r="F2347" s="74" t="s">
        <v>1268</v>
      </c>
      <c r="G2347" s="74" t="s">
        <v>1268</v>
      </c>
    </row>
    <row r="2348" spans="1:7" x14ac:dyDescent="0.2">
      <c r="A2348" s="40">
        <v>9552</v>
      </c>
      <c r="B2348" s="39" t="s">
        <v>1537</v>
      </c>
      <c r="C2348" s="40" t="s">
        <v>1475</v>
      </c>
      <c r="D2348" s="74" t="s">
        <v>1269</v>
      </c>
      <c r="E2348" s="74" t="s">
        <v>1266</v>
      </c>
      <c r="F2348" s="74" t="s">
        <v>1268</v>
      </c>
      <c r="G2348" s="74" t="s">
        <v>1267</v>
      </c>
    </row>
    <row r="2349" spans="1:7" x14ac:dyDescent="0.2">
      <c r="A2349" s="40">
        <v>9554</v>
      </c>
      <c r="B2349" s="39" t="s">
        <v>1538</v>
      </c>
      <c r="C2349" s="40" t="s">
        <v>1475</v>
      </c>
      <c r="D2349" s="74" t="s">
        <v>1269</v>
      </c>
      <c r="E2349" s="74" t="s">
        <v>1266</v>
      </c>
      <c r="F2349" s="74" t="s">
        <v>1268</v>
      </c>
      <c r="G2349" s="74" t="s">
        <v>1267</v>
      </c>
    </row>
    <row r="2350" spans="1:7" x14ac:dyDescent="0.2">
      <c r="A2350" s="40">
        <v>9555</v>
      </c>
      <c r="B2350" s="39" t="s">
        <v>1539</v>
      </c>
      <c r="C2350" s="40" t="s">
        <v>1475</v>
      </c>
      <c r="D2350" s="74" t="s">
        <v>1269</v>
      </c>
      <c r="E2350" s="74" t="s">
        <v>1266</v>
      </c>
      <c r="F2350" s="74" t="s">
        <v>1268</v>
      </c>
      <c r="G2350" s="74" t="s">
        <v>1268</v>
      </c>
    </row>
    <row r="2351" spans="1:7" x14ac:dyDescent="0.2">
      <c r="A2351" s="40">
        <v>9556</v>
      </c>
      <c r="B2351" s="39" t="s">
        <v>1540</v>
      </c>
      <c r="C2351" s="40" t="s">
        <v>1475</v>
      </c>
      <c r="D2351" s="74" t="s">
        <v>1269</v>
      </c>
      <c r="E2351" s="74" t="s">
        <v>1266</v>
      </c>
      <c r="F2351" s="74" t="s">
        <v>1268</v>
      </c>
      <c r="G2351" s="74" t="s">
        <v>1268</v>
      </c>
    </row>
    <row r="2352" spans="1:7" x14ac:dyDescent="0.2">
      <c r="A2352" s="40">
        <v>9560</v>
      </c>
      <c r="B2352" s="39" t="s">
        <v>1541</v>
      </c>
      <c r="C2352" s="40" t="s">
        <v>1475</v>
      </c>
      <c r="D2352" s="74" t="s">
        <v>1269</v>
      </c>
      <c r="E2352" s="74" t="s">
        <v>1266</v>
      </c>
      <c r="F2352" s="74" t="s">
        <v>1268</v>
      </c>
      <c r="G2352" s="74" t="s">
        <v>1268</v>
      </c>
    </row>
    <row r="2353" spans="1:7" x14ac:dyDescent="0.2">
      <c r="A2353" s="40">
        <v>9562</v>
      </c>
      <c r="B2353" s="39" t="s">
        <v>1542</v>
      </c>
      <c r="C2353" s="40" t="s">
        <v>1475</v>
      </c>
      <c r="D2353" s="74" t="s">
        <v>1269</v>
      </c>
      <c r="E2353" s="74" t="s">
        <v>1266</v>
      </c>
      <c r="F2353" s="74" t="s">
        <v>1268</v>
      </c>
      <c r="G2353" s="74" t="s">
        <v>1267</v>
      </c>
    </row>
    <row r="2354" spans="1:7" x14ac:dyDescent="0.2">
      <c r="A2354" s="40">
        <v>9563</v>
      </c>
      <c r="B2354" s="39" t="s">
        <v>1543</v>
      </c>
      <c r="C2354" s="40" t="s">
        <v>1475</v>
      </c>
      <c r="D2354" s="74" t="s">
        <v>1269</v>
      </c>
      <c r="E2354" s="74" t="s">
        <v>1266</v>
      </c>
      <c r="F2354" s="74" t="s">
        <v>1268</v>
      </c>
      <c r="G2354" s="74" t="s">
        <v>1267</v>
      </c>
    </row>
    <row r="2355" spans="1:7" x14ac:dyDescent="0.2">
      <c r="A2355" s="40">
        <v>9564</v>
      </c>
      <c r="B2355" s="39" t="s">
        <v>1544</v>
      </c>
      <c r="C2355" s="40" t="s">
        <v>1475</v>
      </c>
      <c r="D2355" s="74" t="s">
        <v>1269</v>
      </c>
      <c r="E2355" s="74" t="s">
        <v>1266</v>
      </c>
      <c r="F2355" s="74" t="s">
        <v>1268</v>
      </c>
      <c r="G2355" s="74" t="s">
        <v>1268</v>
      </c>
    </row>
    <row r="2356" spans="1:7" x14ac:dyDescent="0.2">
      <c r="A2356" s="40">
        <v>9565</v>
      </c>
      <c r="B2356" s="39" t="s">
        <v>1545</v>
      </c>
      <c r="C2356" s="40" t="s">
        <v>1475</v>
      </c>
      <c r="D2356" s="74" t="s">
        <v>1269</v>
      </c>
      <c r="E2356" s="74" t="s">
        <v>1266</v>
      </c>
      <c r="F2356" s="74" t="s">
        <v>1268</v>
      </c>
      <c r="G2356" s="74" t="s">
        <v>1267</v>
      </c>
    </row>
    <row r="2357" spans="1:7" x14ac:dyDescent="0.2">
      <c r="A2357" s="40">
        <v>9570</v>
      </c>
      <c r="B2357" s="39" t="s">
        <v>1546</v>
      </c>
      <c r="C2357" s="40" t="s">
        <v>1475</v>
      </c>
      <c r="D2357" s="74" t="s">
        <v>1269</v>
      </c>
      <c r="E2357" s="74" t="s">
        <v>1266</v>
      </c>
      <c r="F2357" s="74" t="s">
        <v>1268</v>
      </c>
      <c r="G2357" s="74" t="s">
        <v>1267</v>
      </c>
    </row>
    <row r="2358" spans="1:7" x14ac:dyDescent="0.2">
      <c r="A2358" s="40">
        <v>9571</v>
      </c>
      <c r="B2358" s="39" t="s">
        <v>1547</v>
      </c>
      <c r="C2358" s="40" t="s">
        <v>1475</v>
      </c>
      <c r="D2358" s="74" t="s">
        <v>1269</v>
      </c>
      <c r="E2358" s="74" t="s">
        <v>1266</v>
      </c>
      <c r="F2358" s="74" t="s">
        <v>1268</v>
      </c>
      <c r="G2358" s="74" t="s">
        <v>1268</v>
      </c>
    </row>
    <row r="2359" spans="1:7" x14ac:dyDescent="0.2">
      <c r="A2359" s="40">
        <v>9572</v>
      </c>
      <c r="B2359" s="39" t="s">
        <v>1548</v>
      </c>
      <c r="C2359" s="40" t="s">
        <v>1475</v>
      </c>
      <c r="D2359" s="74" t="s">
        <v>1269</v>
      </c>
      <c r="E2359" s="74" t="s">
        <v>1266</v>
      </c>
      <c r="F2359" s="74" t="s">
        <v>1268</v>
      </c>
      <c r="G2359" s="74" t="s">
        <v>1267</v>
      </c>
    </row>
    <row r="2360" spans="1:7" x14ac:dyDescent="0.2">
      <c r="A2360" s="40">
        <v>9580</v>
      </c>
      <c r="B2360" s="39" t="s">
        <v>1549</v>
      </c>
      <c r="C2360" s="40" t="s">
        <v>1475</v>
      </c>
      <c r="D2360" s="74" t="s">
        <v>1269</v>
      </c>
      <c r="E2360" s="74" t="s">
        <v>1266</v>
      </c>
      <c r="F2360" s="74" t="s">
        <v>1268</v>
      </c>
      <c r="G2360" s="74" t="s">
        <v>1268</v>
      </c>
    </row>
    <row r="2361" spans="1:7" x14ac:dyDescent="0.2">
      <c r="A2361" s="40">
        <v>9581</v>
      </c>
      <c r="B2361" s="39" t="s">
        <v>648</v>
      </c>
      <c r="C2361" s="40" t="s">
        <v>1475</v>
      </c>
      <c r="D2361" s="74" t="s">
        <v>1269</v>
      </c>
      <c r="E2361" s="74" t="s">
        <v>1266</v>
      </c>
      <c r="F2361" s="74" t="s">
        <v>1268</v>
      </c>
      <c r="G2361" s="74" t="s">
        <v>1268</v>
      </c>
    </row>
    <row r="2362" spans="1:7" x14ac:dyDescent="0.2">
      <c r="A2362" s="40">
        <v>9582</v>
      </c>
      <c r="B2362" s="39" t="s">
        <v>37</v>
      </c>
      <c r="C2362" s="40" t="s">
        <v>1475</v>
      </c>
      <c r="D2362" s="74" t="s">
        <v>1269</v>
      </c>
      <c r="E2362" s="74" t="s">
        <v>1266</v>
      </c>
      <c r="F2362" s="74" t="s">
        <v>1268</v>
      </c>
      <c r="G2362" s="74" t="s">
        <v>1267</v>
      </c>
    </row>
    <row r="2363" spans="1:7" x14ac:dyDescent="0.2">
      <c r="A2363" s="40">
        <v>9583</v>
      </c>
      <c r="B2363" s="39" t="s">
        <v>38</v>
      </c>
      <c r="C2363" s="40" t="s">
        <v>1475</v>
      </c>
      <c r="D2363" s="74" t="s">
        <v>1269</v>
      </c>
      <c r="E2363" s="74" t="s">
        <v>1266</v>
      </c>
      <c r="F2363" s="74" t="s">
        <v>1268</v>
      </c>
      <c r="G2363" s="74" t="s">
        <v>1267</v>
      </c>
    </row>
    <row r="2364" spans="1:7" x14ac:dyDescent="0.2">
      <c r="A2364" s="40">
        <v>9584</v>
      </c>
      <c r="B2364" s="39" t="s">
        <v>39</v>
      </c>
      <c r="C2364" s="40" t="s">
        <v>1475</v>
      </c>
      <c r="D2364" s="74" t="s">
        <v>1269</v>
      </c>
      <c r="E2364" s="74" t="s">
        <v>1266</v>
      </c>
      <c r="F2364" s="74" t="s">
        <v>1268</v>
      </c>
      <c r="G2364" s="74" t="s">
        <v>1267</v>
      </c>
    </row>
    <row r="2365" spans="1:7" x14ac:dyDescent="0.2">
      <c r="A2365" s="40">
        <v>9585</v>
      </c>
      <c r="B2365" s="39" t="s">
        <v>40</v>
      </c>
      <c r="C2365" s="40" t="s">
        <v>1475</v>
      </c>
      <c r="D2365" s="74" t="s">
        <v>1269</v>
      </c>
      <c r="E2365" s="74" t="s">
        <v>1266</v>
      </c>
      <c r="F2365" s="74" t="s">
        <v>1268</v>
      </c>
      <c r="G2365" s="74" t="s">
        <v>1267</v>
      </c>
    </row>
    <row r="2366" spans="1:7" x14ac:dyDescent="0.2">
      <c r="A2366" s="40">
        <v>9586</v>
      </c>
      <c r="B2366" s="39" t="s">
        <v>41</v>
      </c>
      <c r="C2366" s="40" t="s">
        <v>1475</v>
      </c>
      <c r="D2366" s="74" t="s">
        <v>1269</v>
      </c>
      <c r="E2366" s="74" t="s">
        <v>1266</v>
      </c>
      <c r="F2366" s="74" t="s">
        <v>1268</v>
      </c>
      <c r="G2366" s="74" t="s">
        <v>1268</v>
      </c>
    </row>
    <row r="2367" spans="1:7" x14ac:dyDescent="0.2">
      <c r="A2367" s="40">
        <v>9587</v>
      </c>
      <c r="B2367" s="39" t="s">
        <v>42</v>
      </c>
      <c r="C2367" s="40" t="s">
        <v>1475</v>
      </c>
      <c r="D2367" s="74" t="s">
        <v>1269</v>
      </c>
      <c r="E2367" s="74" t="s">
        <v>1266</v>
      </c>
      <c r="F2367" s="74" t="s">
        <v>1268</v>
      </c>
      <c r="G2367" s="74" t="s">
        <v>1268</v>
      </c>
    </row>
    <row r="2368" spans="1:7" x14ac:dyDescent="0.2">
      <c r="A2368" s="40">
        <v>9601</v>
      </c>
      <c r="B2368" s="39" t="s">
        <v>43</v>
      </c>
      <c r="C2368" s="40" t="s">
        <v>1475</v>
      </c>
      <c r="D2368" s="74" t="s">
        <v>1269</v>
      </c>
      <c r="E2368" s="74" t="s">
        <v>1266</v>
      </c>
      <c r="F2368" s="74" t="s">
        <v>1268</v>
      </c>
      <c r="G2368" s="74" t="s">
        <v>1268</v>
      </c>
    </row>
    <row r="2369" spans="1:7" x14ac:dyDescent="0.2">
      <c r="A2369" s="40">
        <v>9602</v>
      </c>
      <c r="B2369" s="39" t="s">
        <v>44</v>
      </c>
      <c r="C2369" s="40" t="s">
        <v>1475</v>
      </c>
      <c r="D2369" s="74" t="s">
        <v>1269</v>
      </c>
      <c r="E2369" s="74" t="s">
        <v>1266</v>
      </c>
      <c r="F2369" s="74" t="s">
        <v>1268</v>
      </c>
      <c r="G2369" s="74" t="s">
        <v>1268</v>
      </c>
    </row>
    <row r="2370" spans="1:7" x14ac:dyDescent="0.2">
      <c r="A2370" s="40">
        <v>9611</v>
      </c>
      <c r="B2370" s="39" t="s">
        <v>45</v>
      </c>
      <c r="C2370" s="40" t="s">
        <v>1475</v>
      </c>
      <c r="D2370" s="74" t="s">
        <v>1269</v>
      </c>
      <c r="E2370" s="74" t="s">
        <v>1266</v>
      </c>
      <c r="F2370" s="74" t="s">
        <v>1268</v>
      </c>
      <c r="G2370" s="74" t="s">
        <v>1268</v>
      </c>
    </row>
    <row r="2371" spans="1:7" x14ac:dyDescent="0.2">
      <c r="A2371" s="40">
        <v>9612</v>
      </c>
      <c r="B2371" s="39" t="s">
        <v>46</v>
      </c>
      <c r="C2371" s="40" t="s">
        <v>1475</v>
      </c>
      <c r="D2371" s="74" t="s">
        <v>1269</v>
      </c>
      <c r="E2371" s="74" t="s">
        <v>1266</v>
      </c>
      <c r="F2371" s="74" t="s">
        <v>1268</v>
      </c>
      <c r="G2371" s="74" t="s">
        <v>1267</v>
      </c>
    </row>
    <row r="2372" spans="1:7" x14ac:dyDescent="0.2">
      <c r="A2372" s="40">
        <v>9613</v>
      </c>
      <c r="B2372" s="39" t="s">
        <v>47</v>
      </c>
      <c r="C2372" s="40" t="s">
        <v>1475</v>
      </c>
      <c r="D2372" s="74" t="s">
        <v>1269</v>
      </c>
      <c r="E2372" s="74" t="s">
        <v>1266</v>
      </c>
      <c r="F2372" s="74" t="s">
        <v>1268</v>
      </c>
      <c r="G2372" s="74" t="s">
        <v>1267</v>
      </c>
    </row>
    <row r="2373" spans="1:7" x14ac:dyDescent="0.2">
      <c r="A2373" s="40">
        <v>9614</v>
      </c>
      <c r="B2373" s="39" t="s">
        <v>48</v>
      </c>
      <c r="C2373" s="40" t="s">
        <v>1475</v>
      </c>
      <c r="D2373" s="74" t="s">
        <v>1269</v>
      </c>
      <c r="E2373" s="74" t="s">
        <v>1266</v>
      </c>
      <c r="F2373" s="74" t="s">
        <v>1268</v>
      </c>
      <c r="G2373" s="74" t="s">
        <v>1267</v>
      </c>
    </row>
    <row r="2374" spans="1:7" x14ac:dyDescent="0.2">
      <c r="A2374" s="40">
        <v>9615</v>
      </c>
      <c r="B2374" s="39" t="s">
        <v>49</v>
      </c>
      <c r="C2374" s="40" t="s">
        <v>1475</v>
      </c>
      <c r="D2374" s="74" t="s">
        <v>1269</v>
      </c>
      <c r="E2374" s="74" t="s">
        <v>1266</v>
      </c>
      <c r="F2374" s="74" t="s">
        <v>1268</v>
      </c>
      <c r="G2374" s="74" t="s">
        <v>1267</v>
      </c>
    </row>
    <row r="2375" spans="1:7" x14ac:dyDescent="0.2">
      <c r="A2375" s="40">
        <v>9620</v>
      </c>
      <c r="B2375" s="39" t="s">
        <v>50</v>
      </c>
      <c r="C2375" s="40" t="s">
        <v>1475</v>
      </c>
      <c r="D2375" s="74" t="s">
        <v>1269</v>
      </c>
      <c r="E2375" s="74" t="s">
        <v>1266</v>
      </c>
      <c r="F2375" s="74" t="s">
        <v>1268</v>
      </c>
      <c r="G2375" s="74" t="s">
        <v>1268</v>
      </c>
    </row>
    <row r="2376" spans="1:7" x14ac:dyDescent="0.2">
      <c r="A2376" s="40">
        <v>9622</v>
      </c>
      <c r="B2376" s="39" t="s">
        <v>51</v>
      </c>
      <c r="C2376" s="40" t="s">
        <v>1475</v>
      </c>
      <c r="D2376" s="74" t="s">
        <v>1269</v>
      </c>
      <c r="E2376" s="74" t="s">
        <v>1266</v>
      </c>
      <c r="F2376" s="74" t="s">
        <v>1268</v>
      </c>
      <c r="G2376" s="74" t="s">
        <v>1267</v>
      </c>
    </row>
    <row r="2377" spans="1:7" x14ac:dyDescent="0.2">
      <c r="A2377" s="40">
        <v>9623</v>
      </c>
      <c r="B2377" s="39" t="s">
        <v>52</v>
      </c>
      <c r="C2377" s="40" t="s">
        <v>1475</v>
      </c>
      <c r="D2377" s="74" t="s">
        <v>1269</v>
      </c>
      <c r="E2377" s="74" t="s">
        <v>1266</v>
      </c>
      <c r="F2377" s="74" t="s">
        <v>1268</v>
      </c>
      <c r="G2377" s="74" t="s">
        <v>1268</v>
      </c>
    </row>
    <row r="2378" spans="1:7" x14ac:dyDescent="0.2">
      <c r="A2378" s="40">
        <v>9624</v>
      </c>
      <c r="B2378" s="39" t="s">
        <v>2461</v>
      </c>
      <c r="C2378" s="40" t="s">
        <v>1475</v>
      </c>
      <c r="D2378" s="74" t="s">
        <v>1269</v>
      </c>
      <c r="E2378" s="74" t="s">
        <v>1266</v>
      </c>
      <c r="F2378" s="74" t="s">
        <v>1268</v>
      </c>
      <c r="G2378" s="74" t="s">
        <v>1267</v>
      </c>
    </row>
    <row r="2379" spans="1:7" x14ac:dyDescent="0.2">
      <c r="A2379" s="40">
        <v>9631</v>
      </c>
      <c r="B2379" s="39" t="s">
        <v>53</v>
      </c>
      <c r="C2379" s="40" t="s">
        <v>1475</v>
      </c>
      <c r="D2379" s="74" t="s">
        <v>1269</v>
      </c>
      <c r="E2379" s="74" t="s">
        <v>1266</v>
      </c>
      <c r="F2379" s="74" t="s">
        <v>1268</v>
      </c>
      <c r="G2379" s="74" t="s">
        <v>1267</v>
      </c>
    </row>
    <row r="2380" spans="1:7" x14ac:dyDescent="0.2">
      <c r="A2380" s="40">
        <v>9632</v>
      </c>
      <c r="B2380" s="39" t="s">
        <v>54</v>
      </c>
      <c r="C2380" s="40" t="s">
        <v>1475</v>
      </c>
      <c r="D2380" s="74" t="s">
        <v>1269</v>
      </c>
      <c r="E2380" s="74" t="s">
        <v>1266</v>
      </c>
      <c r="F2380" s="74" t="s">
        <v>1268</v>
      </c>
      <c r="G2380" s="74" t="s">
        <v>1268</v>
      </c>
    </row>
    <row r="2381" spans="1:7" x14ac:dyDescent="0.2">
      <c r="A2381" s="40">
        <v>9633</v>
      </c>
      <c r="B2381" s="39" t="s">
        <v>55</v>
      </c>
      <c r="C2381" s="40" t="s">
        <v>1475</v>
      </c>
      <c r="D2381" s="74" t="s">
        <v>1269</v>
      </c>
      <c r="E2381" s="74" t="s">
        <v>1266</v>
      </c>
      <c r="F2381" s="74" t="s">
        <v>1268</v>
      </c>
      <c r="G2381" s="74" t="s">
        <v>1267</v>
      </c>
    </row>
    <row r="2382" spans="1:7" x14ac:dyDescent="0.2">
      <c r="A2382" s="40">
        <v>9634</v>
      </c>
      <c r="B2382" s="39" t="s">
        <v>56</v>
      </c>
      <c r="C2382" s="40" t="s">
        <v>1475</v>
      </c>
      <c r="D2382" s="74" t="s">
        <v>1269</v>
      </c>
      <c r="E2382" s="74" t="s">
        <v>1266</v>
      </c>
      <c r="F2382" s="74" t="s">
        <v>1268</v>
      </c>
      <c r="G2382" s="74" t="s">
        <v>1267</v>
      </c>
    </row>
    <row r="2383" spans="1:7" x14ac:dyDescent="0.2">
      <c r="A2383" s="40">
        <v>9635</v>
      </c>
      <c r="B2383" s="39" t="s">
        <v>57</v>
      </c>
      <c r="C2383" s="40" t="s">
        <v>1475</v>
      </c>
      <c r="D2383" s="74" t="s">
        <v>1269</v>
      </c>
      <c r="E2383" s="74" t="s">
        <v>1266</v>
      </c>
      <c r="F2383" s="74" t="s">
        <v>1268</v>
      </c>
      <c r="G2383" s="74" t="s">
        <v>1267</v>
      </c>
    </row>
    <row r="2384" spans="1:7" x14ac:dyDescent="0.2">
      <c r="A2384" s="40">
        <v>9640</v>
      </c>
      <c r="B2384" s="39" t="s">
        <v>58</v>
      </c>
      <c r="C2384" s="40" t="s">
        <v>1475</v>
      </c>
      <c r="D2384" s="74" t="s">
        <v>1269</v>
      </c>
      <c r="E2384" s="74" t="s">
        <v>1266</v>
      </c>
      <c r="F2384" s="74" t="s">
        <v>1268</v>
      </c>
      <c r="G2384" s="74" t="s">
        <v>1268</v>
      </c>
    </row>
    <row r="2385" spans="1:7" x14ac:dyDescent="0.2">
      <c r="A2385" s="40">
        <v>9651</v>
      </c>
      <c r="B2385" s="39" t="s">
        <v>59</v>
      </c>
      <c r="C2385" s="40" t="s">
        <v>1475</v>
      </c>
      <c r="D2385" s="74" t="s">
        <v>1269</v>
      </c>
      <c r="E2385" s="74" t="s">
        <v>1266</v>
      </c>
      <c r="F2385" s="74" t="s">
        <v>1268</v>
      </c>
      <c r="G2385" s="74" t="s">
        <v>1267</v>
      </c>
    </row>
    <row r="2386" spans="1:7" x14ac:dyDescent="0.2">
      <c r="A2386" s="40">
        <v>9652</v>
      </c>
      <c r="B2386" s="39" t="s">
        <v>60</v>
      </c>
      <c r="C2386" s="40" t="s">
        <v>1475</v>
      </c>
      <c r="D2386" s="74" t="s">
        <v>1269</v>
      </c>
      <c r="E2386" s="74" t="s">
        <v>1266</v>
      </c>
      <c r="F2386" s="74" t="s">
        <v>1268</v>
      </c>
      <c r="G2386" s="74" t="s">
        <v>1267</v>
      </c>
    </row>
    <row r="2387" spans="1:7" x14ac:dyDescent="0.2">
      <c r="A2387" s="40">
        <v>9653</v>
      </c>
      <c r="B2387" s="39" t="s">
        <v>61</v>
      </c>
      <c r="C2387" s="40" t="s">
        <v>1475</v>
      </c>
      <c r="D2387" s="74" t="s">
        <v>1269</v>
      </c>
      <c r="E2387" s="74" t="s">
        <v>1266</v>
      </c>
      <c r="F2387" s="74" t="s">
        <v>1268</v>
      </c>
      <c r="G2387" s="74" t="s">
        <v>1267</v>
      </c>
    </row>
    <row r="2388" spans="1:7" x14ac:dyDescent="0.2">
      <c r="A2388" s="40">
        <v>9654</v>
      </c>
      <c r="B2388" s="39" t="s">
        <v>264</v>
      </c>
      <c r="C2388" s="40" t="s">
        <v>1475</v>
      </c>
      <c r="D2388" s="74" t="s">
        <v>1269</v>
      </c>
      <c r="E2388" s="74" t="s">
        <v>1266</v>
      </c>
      <c r="F2388" s="74" t="s">
        <v>1268</v>
      </c>
      <c r="G2388" s="74" t="s">
        <v>1268</v>
      </c>
    </row>
    <row r="2389" spans="1:7" x14ac:dyDescent="0.2">
      <c r="A2389" s="40">
        <v>9655</v>
      </c>
      <c r="B2389" s="39" t="s">
        <v>62</v>
      </c>
      <c r="C2389" s="40" t="s">
        <v>1475</v>
      </c>
      <c r="D2389" s="74" t="s">
        <v>1269</v>
      </c>
      <c r="E2389" s="74" t="s">
        <v>1266</v>
      </c>
      <c r="F2389" s="74" t="s">
        <v>1268</v>
      </c>
      <c r="G2389" s="74" t="s">
        <v>1267</v>
      </c>
    </row>
    <row r="2390" spans="1:7" x14ac:dyDescent="0.2">
      <c r="A2390" s="40">
        <v>9701</v>
      </c>
      <c r="B2390" s="39" t="s">
        <v>63</v>
      </c>
      <c r="C2390" s="40" t="s">
        <v>1475</v>
      </c>
      <c r="D2390" s="74" t="s">
        <v>1269</v>
      </c>
      <c r="E2390" s="74" t="s">
        <v>1266</v>
      </c>
      <c r="F2390" s="74" t="s">
        <v>1268</v>
      </c>
      <c r="G2390" s="74" t="s">
        <v>1267</v>
      </c>
    </row>
    <row r="2391" spans="1:7" x14ac:dyDescent="0.2">
      <c r="A2391" s="40">
        <v>9702</v>
      </c>
      <c r="B2391" s="39" t="s">
        <v>64</v>
      </c>
      <c r="C2391" s="40" t="s">
        <v>1475</v>
      </c>
      <c r="D2391" s="74" t="s">
        <v>1269</v>
      </c>
      <c r="E2391" s="74" t="s">
        <v>1266</v>
      </c>
      <c r="F2391" s="74" t="s">
        <v>1268</v>
      </c>
      <c r="G2391" s="74" t="s">
        <v>1268</v>
      </c>
    </row>
    <row r="2392" spans="1:7" x14ac:dyDescent="0.2">
      <c r="A2392" s="40">
        <v>9710</v>
      </c>
      <c r="B2392" s="39" t="s">
        <v>65</v>
      </c>
      <c r="C2392" s="40" t="s">
        <v>1475</v>
      </c>
      <c r="D2392" s="74" t="s">
        <v>1269</v>
      </c>
      <c r="E2392" s="74" t="s">
        <v>1266</v>
      </c>
      <c r="F2392" s="74" t="s">
        <v>1268</v>
      </c>
      <c r="G2392" s="74" t="s">
        <v>1268</v>
      </c>
    </row>
    <row r="2393" spans="1:7" x14ac:dyDescent="0.2">
      <c r="A2393" s="40">
        <v>9711</v>
      </c>
      <c r="B2393" s="39" t="s">
        <v>66</v>
      </c>
      <c r="C2393" s="40" t="s">
        <v>1475</v>
      </c>
      <c r="D2393" s="74" t="s">
        <v>1269</v>
      </c>
      <c r="E2393" s="74" t="s">
        <v>1266</v>
      </c>
      <c r="F2393" s="74" t="s">
        <v>1268</v>
      </c>
      <c r="G2393" s="74" t="s">
        <v>1267</v>
      </c>
    </row>
    <row r="2394" spans="1:7" x14ac:dyDescent="0.2">
      <c r="A2394" s="40">
        <v>9712</v>
      </c>
      <c r="B2394" s="39" t="s">
        <v>67</v>
      </c>
      <c r="C2394" s="40" t="s">
        <v>1475</v>
      </c>
      <c r="D2394" s="74" t="s">
        <v>1269</v>
      </c>
      <c r="E2394" s="74" t="s">
        <v>1266</v>
      </c>
      <c r="F2394" s="74" t="s">
        <v>1268</v>
      </c>
      <c r="G2394" s="74" t="s">
        <v>1267</v>
      </c>
    </row>
    <row r="2395" spans="1:7" x14ac:dyDescent="0.2">
      <c r="A2395" s="40">
        <v>9713</v>
      </c>
      <c r="B2395" s="39" t="s">
        <v>68</v>
      </c>
      <c r="C2395" s="40" t="s">
        <v>1475</v>
      </c>
      <c r="D2395" s="74" t="s">
        <v>1269</v>
      </c>
      <c r="E2395" s="74" t="s">
        <v>1266</v>
      </c>
      <c r="F2395" s="74" t="s">
        <v>1268</v>
      </c>
      <c r="G2395" s="74" t="s">
        <v>1268</v>
      </c>
    </row>
    <row r="2396" spans="1:7" x14ac:dyDescent="0.2">
      <c r="A2396" s="40">
        <v>9714</v>
      </c>
      <c r="B2396" s="39" t="s">
        <v>69</v>
      </c>
      <c r="C2396" s="40" t="s">
        <v>1475</v>
      </c>
      <c r="D2396" s="74" t="s">
        <v>1269</v>
      </c>
      <c r="E2396" s="74" t="s">
        <v>1266</v>
      </c>
      <c r="F2396" s="74" t="s">
        <v>1268</v>
      </c>
      <c r="G2396" s="74" t="s">
        <v>1267</v>
      </c>
    </row>
    <row r="2397" spans="1:7" x14ac:dyDescent="0.2">
      <c r="A2397" s="40">
        <v>9721</v>
      </c>
      <c r="B2397" s="39" t="s">
        <v>70</v>
      </c>
      <c r="C2397" s="40" t="s">
        <v>1475</v>
      </c>
      <c r="D2397" s="74" t="s">
        <v>1269</v>
      </c>
      <c r="E2397" s="74" t="s">
        <v>1266</v>
      </c>
      <c r="F2397" s="74" t="s">
        <v>1268</v>
      </c>
      <c r="G2397" s="74" t="s">
        <v>1268</v>
      </c>
    </row>
    <row r="2398" spans="1:7" x14ac:dyDescent="0.2">
      <c r="A2398" s="40">
        <v>9722</v>
      </c>
      <c r="B2398" s="39" t="s">
        <v>71</v>
      </c>
      <c r="C2398" s="40" t="s">
        <v>1475</v>
      </c>
      <c r="D2398" s="74" t="s">
        <v>1269</v>
      </c>
      <c r="E2398" s="74" t="s">
        <v>1266</v>
      </c>
      <c r="F2398" s="74" t="s">
        <v>1268</v>
      </c>
      <c r="G2398" s="74" t="s">
        <v>1267</v>
      </c>
    </row>
    <row r="2399" spans="1:7" x14ac:dyDescent="0.2">
      <c r="A2399" s="40">
        <v>9751</v>
      </c>
      <c r="B2399" s="39" t="s">
        <v>72</v>
      </c>
      <c r="C2399" s="40" t="s">
        <v>1475</v>
      </c>
      <c r="D2399" s="74" t="s">
        <v>1269</v>
      </c>
      <c r="E2399" s="74" t="s">
        <v>1266</v>
      </c>
      <c r="F2399" s="74" t="s">
        <v>1268</v>
      </c>
      <c r="G2399" s="74" t="s">
        <v>1267</v>
      </c>
    </row>
    <row r="2400" spans="1:7" x14ac:dyDescent="0.2">
      <c r="A2400" s="40">
        <v>9753</v>
      </c>
      <c r="B2400" s="39" t="s">
        <v>73</v>
      </c>
      <c r="C2400" s="40" t="s">
        <v>1475</v>
      </c>
      <c r="D2400" s="74" t="s">
        <v>1269</v>
      </c>
      <c r="E2400" s="74" t="s">
        <v>1266</v>
      </c>
      <c r="F2400" s="74" t="s">
        <v>1268</v>
      </c>
      <c r="G2400" s="74" t="s">
        <v>1267</v>
      </c>
    </row>
    <row r="2401" spans="1:7" x14ac:dyDescent="0.2">
      <c r="A2401" s="40">
        <v>9754</v>
      </c>
      <c r="B2401" s="39" t="s">
        <v>74</v>
      </c>
      <c r="C2401" s="40" t="s">
        <v>1475</v>
      </c>
      <c r="D2401" s="74" t="s">
        <v>1269</v>
      </c>
      <c r="E2401" s="74" t="s">
        <v>1266</v>
      </c>
      <c r="F2401" s="74" t="s">
        <v>1268</v>
      </c>
      <c r="G2401" s="74" t="s">
        <v>1268</v>
      </c>
    </row>
    <row r="2402" spans="1:7" x14ac:dyDescent="0.2">
      <c r="A2402" s="40">
        <v>9761</v>
      </c>
      <c r="B2402" s="39" t="s">
        <v>75</v>
      </c>
      <c r="C2402" s="40" t="s">
        <v>1475</v>
      </c>
      <c r="D2402" s="74" t="s">
        <v>1269</v>
      </c>
      <c r="E2402" s="74" t="s">
        <v>1266</v>
      </c>
      <c r="F2402" s="74" t="s">
        <v>1268</v>
      </c>
      <c r="G2402" s="74" t="s">
        <v>1268</v>
      </c>
    </row>
    <row r="2403" spans="1:7" x14ac:dyDescent="0.2">
      <c r="A2403" s="40">
        <v>9762</v>
      </c>
      <c r="B2403" s="39" t="s">
        <v>76</v>
      </c>
      <c r="C2403" s="40" t="s">
        <v>1475</v>
      </c>
      <c r="D2403" s="74" t="s">
        <v>1269</v>
      </c>
      <c r="E2403" s="74" t="s">
        <v>1266</v>
      </c>
      <c r="F2403" s="74" t="s">
        <v>1268</v>
      </c>
      <c r="G2403" s="74" t="s">
        <v>1268</v>
      </c>
    </row>
    <row r="2404" spans="1:7" x14ac:dyDescent="0.2">
      <c r="A2404" s="40">
        <v>9771</v>
      </c>
      <c r="B2404" s="39" t="s">
        <v>77</v>
      </c>
      <c r="C2404" s="40" t="s">
        <v>1475</v>
      </c>
      <c r="D2404" s="74" t="s">
        <v>1269</v>
      </c>
      <c r="E2404" s="74" t="s">
        <v>1266</v>
      </c>
      <c r="F2404" s="74" t="s">
        <v>1268</v>
      </c>
      <c r="G2404" s="74" t="s">
        <v>1267</v>
      </c>
    </row>
    <row r="2405" spans="1:7" x14ac:dyDescent="0.2">
      <c r="A2405" s="40">
        <v>9772</v>
      </c>
      <c r="B2405" s="39" t="s">
        <v>57</v>
      </c>
      <c r="C2405" s="40" t="s">
        <v>1475</v>
      </c>
      <c r="D2405" s="74" t="s">
        <v>1269</v>
      </c>
      <c r="E2405" s="74" t="s">
        <v>1266</v>
      </c>
      <c r="F2405" s="74" t="s">
        <v>1268</v>
      </c>
      <c r="G2405" s="74" t="s">
        <v>1268</v>
      </c>
    </row>
    <row r="2406" spans="1:7" x14ac:dyDescent="0.2">
      <c r="A2406" s="40">
        <v>9773</v>
      </c>
      <c r="B2406" s="39" t="s">
        <v>78</v>
      </c>
      <c r="C2406" s="40" t="s">
        <v>1475</v>
      </c>
      <c r="D2406" s="74" t="s">
        <v>1269</v>
      </c>
      <c r="E2406" s="74" t="s">
        <v>1266</v>
      </c>
      <c r="F2406" s="74" t="s">
        <v>1268</v>
      </c>
      <c r="G2406" s="74" t="s">
        <v>1267</v>
      </c>
    </row>
    <row r="2407" spans="1:7" x14ac:dyDescent="0.2">
      <c r="A2407" s="40">
        <v>9781</v>
      </c>
      <c r="B2407" s="39" t="s">
        <v>79</v>
      </c>
      <c r="C2407" s="40" t="s">
        <v>1475</v>
      </c>
      <c r="D2407" s="74" t="s">
        <v>1269</v>
      </c>
      <c r="E2407" s="74" t="s">
        <v>1266</v>
      </c>
      <c r="F2407" s="74" t="s">
        <v>1268</v>
      </c>
      <c r="G2407" s="74" t="s">
        <v>1268</v>
      </c>
    </row>
    <row r="2408" spans="1:7" x14ac:dyDescent="0.2">
      <c r="A2408" s="40">
        <v>9782</v>
      </c>
      <c r="B2408" s="39" t="s">
        <v>80</v>
      </c>
      <c r="C2408" s="40" t="s">
        <v>871</v>
      </c>
      <c r="D2408" s="74" t="s">
        <v>1269</v>
      </c>
      <c r="E2408" s="74" t="s">
        <v>1266</v>
      </c>
      <c r="F2408" s="74" t="s">
        <v>1268</v>
      </c>
      <c r="G2408" s="74" t="s">
        <v>1267</v>
      </c>
    </row>
    <row r="2409" spans="1:7" x14ac:dyDescent="0.2">
      <c r="A2409" s="40">
        <v>9800</v>
      </c>
      <c r="B2409" s="39" t="s">
        <v>1574</v>
      </c>
      <c r="C2409" s="40" t="s">
        <v>1475</v>
      </c>
      <c r="D2409" s="74" t="s">
        <v>1269</v>
      </c>
      <c r="E2409" s="74" t="s">
        <v>1266</v>
      </c>
      <c r="F2409" s="74" t="s">
        <v>1268</v>
      </c>
      <c r="G2409" s="74" t="s">
        <v>1268</v>
      </c>
    </row>
    <row r="2410" spans="1:7" x14ac:dyDescent="0.2">
      <c r="A2410" s="40">
        <v>9802</v>
      </c>
      <c r="B2410" s="39" t="s">
        <v>1574</v>
      </c>
      <c r="C2410" s="40" t="s">
        <v>1475</v>
      </c>
      <c r="D2410" s="74" t="s">
        <v>1271</v>
      </c>
      <c r="E2410" s="74" t="s">
        <v>1266</v>
      </c>
      <c r="F2410" s="74" t="s">
        <v>1267</v>
      </c>
      <c r="G2410" s="74" t="s">
        <v>1268</v>
      </c>
    </row>
    <row r="2411" spans="1:7" x14ac:dyDescent="0.2">
      <c r="A2411" s="40">
        <v>9803</v>
      </c>
      <c r="B2411" s="39" t="s">
        <v>1574</v>
      </c>
      <c r="C2411" s="40" t="s">
        <v>1475</v>
      </c>
      <c r="D2411" s="74" t="s">
        <v>1271</v>
      </c>
      <c r="E2411" s="74" t="s">
        <v>1266</v>
      </c>
      <c r="F2411" s="74" t="s">
        <v>1267</v>
      </c>
      <c r="G2411" s="74" t="s">
        <v>1268</v>
      </c>
    </row>
    <row r="2412" spans="1:7" x14ac:dyDescent="0.2">
      <c r="A2412" s="40">
        <v>9805</v>
      </c>
      <c r="B2412" s="39" t="s">
        <v>1575</v>
      </c>
      <c r="C2412" s="40" t="s">
        <v>1475</v>
      </c>
      <c r="D2412" s="74" t="s">
        <v>1269</v>
      </c>
      <c r="E2412" s="74" t="s">
        <v>1266</v>
      </c>
      <c r="F2412" s="74" t="s">
        <v>1268</v>
      </c>
      <c r="G2412" s="74" t="s">
        <v>1267</v>
      </c>
    </row>
    <row r="2413" spans="1:7" x14ac:dyDescent="0.2">
      <c r="A2413" s="40">
        <v>9811</v>
      </c>
      <c r="B2413" s="39" t="s">
        <v>1576</v>
      </c>
      <c r="C2413" s="40" t="s">
        <v>1475</v>
      </c>
      <c r="D2413" s="74" t="s">
        <v>1269</v>
      </c>
      <c r="E2413" s="74" t="s">
        <v>1266</v>
      </c>
      <c r="F2413" s="74" t="s">
        <v>1268</v>
      </c>
      <c r="G2413" s="74" t="s">
        <v>1267</v>
      </c>
    </row>
    <row r="2414" spans="1:7" x14ac:dyDescent="0.2">
      <c r="A2414" s="40">
        <v>9812</v>
      </c>
      <c r="B2414" s="39" t="s">
        <v>1577</v>
      </c>
      <c r="C2414" s="40" t="s">
        <v>1475</v>
      </c>
      <c r="D2414" s="74" t="s">
        <v>1269</v>
      </c>
      <c r="E2414" s="74" t="s">
        <v>1266</v>
      </c>
      <c r="F2414" s="74" t="s">
        <v>1268</v>
      </c>
      <c r="G2414" s="74" t="s">
        <v>1267</v>
      </c>
    </row>
    <row r="2415" spans="1:7" x14ac:dyDescent="0.2">
      <c r="A2415" s="40">
        <v>9813</v>
      </c>
      <c r="B2415" s="39" t="s">
        <v>1578</v>
      </c>
      <c r="C2415" s="40" t="s">
        <v>1475</v>
      </c>
      <c r="D2415" s="74" t="s">
        <v>1269</v>
      </c>
      <c r="E2415" s="74" t="s">
        <v>1266</v>
      </c>
      <c r="F2415" s="74" t="s">
        <v>1268</v>
      </c>
      <c r="G2415" s="74" t="s">
        <v>1268</v>
      </c>
    </row>
    <row r="2416" spans="1:7" x14ac:dyDescent="0.2">
      <c r="A2416" s="40">
        <v>9814</v>
      </c>
      <c r="B2416" s="39" t="s">
        <v>541</v>
      </c>
      <c r="C2416" s="40" t="s">
        <v>1475</v>
      </c>
      <c r="D2416" s="74" t="s">
        <v>1269</v>
      </c>
      <c r="E2416" s="74" t="s">
        <v>1266</v>
      </c>
      <c r="F2416" s="74" t="s">
        <v>1268</v>
      </c>
      <c r="G2416" s="74" t="s">
        <v>1267</v>
      </c>
    </row>
    <row r="2417" spans="1:7" x14ac:dyDescent="0.2">
      <c r="A2417" s="40">
        <v>9815</v>
      </c>
      <c r="B2417" s="39" t="s">
        <v>1579</v>
      </c>
      <c r="C2417" s="40" t="s">
        <v>1475</v>
      </c>
      <c r="D2417" s="74" t="s">
        <v>1269</v>
      </c>
      <c r="E2417" s="74" t="s">
        <v>1266</v>
      </c>
      <c r="F2417" s="74" t="s">
        <v>1268</v>
      </c>
      <c r="G2417" s="74" t="s">
        <v>1268</v>
      </c>
    </row>
    <row r="2418" spans="1:7" x14ac:dyDescent="0.2">
      <c r="A2418" s="40">
        <v>9816</v>
      </c>
      <c r="B2418" s="39" t="s">
        <v>1580</v>
      </c>
      <c r="C2418" s="40" t="s">
        <v>1475</v>
      </c>
      <c r="D2418" s="74" t="s">
        <v>1269</v>
      </c>
      <c r="E2418" s="74" t="s">
        <v>1266</v>
      </c>
      <c r="F2418" s="74" t="s">
        <v>1268</v>
      </c>
      <c r="G2418" s="74" t="s">
        <v>1267</v>
      </c>
    </row>
    <row r="2419" spans="1:7" x14ac:dyDescent="0.2">
      <c r="A2419" s="40">
        <v>9821</v>
      </c>
      <c r="B2419" s="39" t="s">
        <v>95</v>
      </c>
      <c r="C2419" s="40" t="s">
        <v>1475</v>
      </c>
      <c r="D2419" s="74" t="s">
        <v>1269</v>
      </c>
      <c r="E2419" s="74" t="s">
        <v>1266</v>
      </c>
      <c r="F2419" s="74" t="s">
        <v>1268</v>
      </c>
      <c r="G2419" s="74" t="s">
        <v>1268</v>
      </c>
    </row>
    <row r="2420" spans="1:7" x14ac:dyDescent="0.2">
      <c r="A2420" s="40">
        <v>9822</v>
      </c>
      <c r="B2420" s="39" t="s">
        <v>1581</v>
      </c>
      <c r="C2420" s="40" t="s">
        <v>1475</v>
      </c>
      <c r="D2420" s="74" t="s">
        <v>1269</v>
      </c>
      <c r="E2420" s="74" t="s">
        <v>1266</v>
      </c>
      <c r="F2420" s="74" t="s">
        <v>1268</v>
      </c>
      <c r="G2420" s="74" t="s">
        <v>1267</v>
      </c>
    </row>
    <row r="2421" spans="1:7" x14ac:dyDescent="0.2">
      <c r="A2421" s="40">
        <v>9831</v>
      </c>
      <c r="B2421" s="39" t="s">
        <v>1582</v>
      </c>
      <c r="C2421" s="40" t="s">
        <v>1475</v>
      </c>
      <c r="D2421" s="74" t="s">
        <v>1269</v>
      </c>
      <c r="E2421" s="74" t="s">
        <v>1266</v>
      </c>
      <c r="F2421" s="74" t="s">
        <v>1268</v>
      </c>
      <c r="G2421" s="74" t="s">
        <v>1267</v>
      </c>
    </row>
    <row r="2422" spans="1:7" x14ac:dyDescent="0.2">
      <c r="A2422" s="40">
        <v>9832</v>
      </c>
      <c r="B2422" s="39" t="s">
        <v>1583</v>
      </c>
      <c r="C2422" s="40" t="s">
        <v>1475</v>
      </c>
      <c r="D2422" s="74" t="s">
        <v>1269</v>
      </c>
      <c r="E2422" s="74" t="s">
        <v>1266</v>
      </c>
      <c r="F2422" s="74" t="s">
        <v>1268</v>
      </c>
      <c r="G2422" s="74" t="s">
        <v>1268</v>
      </c>
    </row>
    <row r="2423" spans="1:7" x14ac:dyDescent="0.2">
      <c r="A2423" s="40">
        <v>9833</v>
      </c>
      <c r="B2423" s="39" t="s">
        <v>1584</v>
      </c>
      <c r="C2423" s="40" t="s">
        <v>1475</v>
      </c>
      <c r="D2423" s="74" t="s">
        <v>1269</v>
      </c>
      <c r="E2423" s="74" t="s">
        <v>1266</v>
      </c>
      <c r="F2423" s="74" t="s">
        <v>1268</v>
      </c>
      <c r="G2423" s="74" t="s">
        <v>1267</v>
      </c>
    </row>
    <row r="2424" spans="1:7" x14ac:dyDescent="0.2">
      <c r="A2424" s="40">
        <v>9841</v>
      </c>
      <c r="B2424" s="39" t="s">
        <v>1585</v>
      </c>
      <c r="C2424" s="40" t="s">
        <v>1475</v>
      </c>
      <c r="D2424" s="74" t="s">
        <v>1269</v>
      </c>
      <c r="E2424" s="74" t="s">
        <v>1266</v>
      </c>
      <c r="F2424" s="74" t="s">
        <v>1268</v>
      </c>
      <c r="G2424" s="74" t="s">
        <v>1268</v>
      </c>
    </row>
    <row r="2425" spans="1:7" x14ac:dyDescent="0.2">
      <c r="A2425" s="40">
        <v>9842</v>
      </c>
      <c r="B2425" s="39" t="s">
        <v>1586</v>
      </c>
      <c r="C2425" s="40" t="s">
        <v>1475</v>
      </c>
      <c r="D2425" s="74" t="s">
        <v>1269</v>
      </c>
      <c r="E2425" s="74" t="s">
        <v>1266</v>
      </c>
      <c r="F2425" s="74" t="s">
        <v>1268</v>
      </c>
      <c r="G2425" s="74" t="s">
        <v>1267</v>
      </c>
    </row>
    <row r="2426" spans="1:7" x14ac:dyDescent="0.2">
      <c r="A2426" s="40">
        <v>9843</v>
      </c>
      <c r="B2426" s="39" t="s">
        <v>1587</v>
      </c>
      <c r="C2426" s="40" t="s">
        <v>1475</v>
      </c>
      <c r="D2426" s="74" t="s">
        <v>1269</v>
      </c>
      <c r="E2426" s="74" t="s">
        <v>1266</v>
      </c>
      <c r="F2426" s="74" t="s">
        <v>1268</v>
      </c>
      <c r="G2426" s="74" t="s">
        <v>1268</v>
      </c>
    </row>
    <row r="2427" spans="1:7" x14ac:dyDescent="0.2">
      <c r="A2427" s="40">
        <v>9844</v>
      </c>
      <c r="B2427" s="39" t="s">
        <v>1588</v>
      </c>
      <c r="C2427" s="40" t="s">
        <v>1475</v>
      </c>
      <c r="D2427" s="74" t="s">
        <v>1269</v>
      </c>
      <c r="E2427" s="74" t="s">
        <v>1266</v>
      </c>
      <c r="F2427" s="74" t="s">
        <v>1268</v>
      </c>
      <c r="G2427" s="74" t="s">
        <v>1267</v>
      </c>
    </row>
    <row r="2428" spans="1:7" x14ac:dyDescent="0.2">
      <c r="A2428" s="40">
        <v>9851</v>
      </c>
      <c r="B2428" s="39" t="s">
        <v>1589</v>
      </c>
      <c r="C2428" s="40" t="s">
        <v>1475</v>
      </c>
      <c r="D2428" s="74" t="s">
        <v>1269</v>
      </c>
      <c r="E2428" s="74" t="s">
        <v>1266</v>
      </c>
      <c r="F2428" s="74" t="s">
        <v>1268</v>
      </c>
      <c r="G2428" s="74" t="s">
        <v>1267</v>
      </c>
    </row>
    <row r="2429" spans="1:7" x14ac:dyDescent="0.2">
      <c r="A2429" s="40">
        <v>9852</v>
      </c>
      <c r="B2429" s="39" t="s">
        <v>1590</v>
      </c>
      <c r="C2429" s="40" t="s">
        <v>1475</v>
      </c>
      <c r="D2429" s="74" t="s">
        <v>1269</v>
      </c>
      <c r="E2429" s="74" t="s">
        <v>1266</v>
      </c>
      <c r="F2429" s="74" t="s">
        <v>1268</v>
      </c>
      <c r="G2429" s="74" t="s">
        <v>1267</v>
      </c>
    </row>
    <row r="2430" spans="1:7" x14ac:dyDescent="0.2">
      <c r="A2430" s="40">
        <v>9853</v>
      </c>
      <c r="B2430" s="39" t="s">
        <v>638</v>
      </c>
      <c r="C2430" s="40" t="s">
        <v>1475</v>
      </c>
      <c r="D2430" s="74" t="s">
        <v>1269</v>
      </c>
      <c r="E2430" s="74" t="s">
        <v>1266</v>
      </c>
      <c r="F2430" s="74" t="s">
        <v>1268</v>
      </c>
      <c r="G2430" s="74" t="s">
        <v>1268</v>
      </c>
    </row>
    <row r="2431" spans="1:7" x14ac:dyDescent="0.2">
      <c r="A2431" s="40">
        <v>9854</v>
      </c>
      <c r="B2431" s="39" t="s">
        <v>1591</v>
      </c>
      <c r="C2431" s="40" t="s">
        <v>1475</v>
      </c>
      <c r="D2431" s="74" t="s">
        <v>1269</v>
      </c>
      <c r="E2431" s="74" t="s">
        <v>1266</v>
      </c>
      <c r="F2431" s="74" t="s">
        <v>1268</v>
      </c>
      <c r="G2431" s="74" t="s">
        <v>1267</v>
      </c>
    </row>
    <row r="2432" spans="1:7" x14ac:dyDescent="0.2">
      <c r="A2432" s="40">
        <v>9861</v>
      </c>
      <c r="B2432" s="39" t="s">
        <v>1592</v>
      </c>
      <c r="C2432" s="40" t="s">
        <v>1475</v>
      </c>
      <c r="D2432" s="74" t="s">
        <v>1269</v>
      </c>
      <c r="E2432" s="74" t="s">
        <v>1266</v>
      </c>
      <c r="F2432" s="74" t="s">
        <v>1268</v>
      </c>
      <c r="G2432" s="74" t="s">
        <v>1267</v>
      </c>
    </row>
    <row r="2433" spans="1:7" x14ac:dyDescent="0.2">
      <c r="A2433" s="40">
        <v>9862</v>
      </c>
      <c r="B2433" s="39" t="s">
        <v>1593</v>
      </c>
      <c r="C2433" s="40" t="s">
        <v>1475</v>
      </c>
      <c r="D2433" s="74" t="s">
        <v>1269</v>
      </c>
      <c r="E2433" s="74" t="s">
        <v>1266</v>
      </c>
      <c r="F2433" s="74" t="s">
        <v>1268</v>
      </c>
      <c r="G2433" s="74" t="s">
        <v>1267</v>
      </c>
    </row>
    <row r="2434" spans="1:7" x14ac:dyDescent="0.2">
      <c r="A2434" s="40">
        <v>9863</v>
      </c>
      <c r="B2434" s="39" t="s">
        <v>1594</v>
      </c>
      <c r="C2434" s="40" t="s">
        <v>1475</v>
      </c>
      <c r="D2434" s="74" t="s">
        <v>1269</v>
      </c>
      <c r="E2434" s="74" t="s">
        <v>1266</v>
      </c>
      <c r="F2434" s="74" t="s">
        <v>1268</v>
      </c>
      <c r="G2434" s="74" t="s">
        <v>1268</v>
      </c>
    </row>
    <row r="2435" spans="1:7" x14ac:dyDescent="0.2">
      <c r="A2435" s="40">
        <v>9871</v>
      </c>
      <c r="B2435" s="39" t="s">
        <v>1595</v>
      </c>
      <c r="C2435" s="40" t="s">
        <v>1475</v>
      </c>
      <c r="D2435" s="74" t="s">
        <v>1269</v>
      </c>
      <c r="E2435" s="74" t="s">
        <v>1266</v>
      </c>
      <c r="F2435" s="74" t="s">
        <v>1268</v>
      </c>
      <c r="G2435" s="74" t="s">
        <v>1268</v>
      </c>
    </row>
    <row r="2436" spans="1:7" x14ac:dyDescent="0.2">
      <c r="A2436" s="40">
        <v>9872</v>
      </c>
      <c r="B2436" s="39" t="s">
        <v>219</v>
      </c>
      <c r="C2436" s="40" t="s">
        <v>1475</v>
      </c>
      <c r="D2436" s="74" t="s">
        <v>1269</v>
      </c>
      <c r="E2436" s="74" t="s">
        <v>1266</v>
      </c>
      <c r="F2436" s="74" t="s">
        <v>1268</v>
      </c>
      <c r="G2436" s="74" t="s">
        <v>1268</v>
      </c>
    </row>
    <row r="2437" spans="1:7" x14ac:dyDescent="0.2">
      <c r="A2437" s="40">
        <v>9873</v>
      </c>
      <c r="B2437" s="39" t="s">
        <v>1596</v>
      </c>
      <c r="C2437" s="40" t="s">
        <v>1475</v>
      </c>
      <c r="D2437" s="74" t="s">
        <v>1269</v>
      </c>
      <c r="E2437" s="74" t="s">
        <v>1266</v>
      </c>
      <c r="F2437" s="74" t="s">
        <v>1268</v>
      </c>
      <c r="G2437" s="74" t="s">
        <v>1267</v>
      </c>
    </row>
    <row r="2438" spans="1:7" x14ac:dyDescent="0.2">
      <c r="A2438" s="40">
        <v>9900</v>
      </c>
      <c r="B2438" s="39" t="s">
        <v>211</v>
      </c>
      <c r="C2438" s="40" t="s">
        <v>871</v>
      </c>
      <c r="D2438" s="74" t="s">
        <v>1269</v>
      </c>
      <c r="E2438" s="74" t="s">
        <v>1266</v>
      </c>
      <c r="F2438" s="74" t="s">
        <v>1268</v>
      </c>
      <c r="G2438" s="74" t="s">
        <v>1268</v>
      </c>
    </row>
    <row r="2439" spans="1:7" x14ac:dyDescent="0.2">
      <c r="A2439" s="40">
        <v>9904</v>
      </c>
      <c r="B2439" s="39" t="s">
        <v>1597</v>
      </c>
      <c r="C2439" s="40" t="s">
        <v>871</v>
      </c>
      <c r="D2439" s="74" t="s">
        <v>1269</v>
      </c>
      <c r="E2439" s="74" t="s">
        <v>1266</v>
      </c>
      <c r="F2439" s="74" t="s">
        <v>1268</v>
      </c>
      <c r="G2439" s="74" t="s">
        <v>1267</v>
      </c>
    </row>
    <row r="2440" spans="1:7" x14ac:dyDescent="0.2">
      <c r="A2440" s="40">
        <v>9911</v>
      </c>
      <c r="B2440" s="39" t="s">
        <v>1598</v>
      </c>
      <c r="C2440" s="40" t="s">
        <v>871</v>
      </c>
      <c r="D2440" s="74" t="s">
        <v>1269</v>
      </c>
      <c r="E2440" s="74" t="s">
        <v>1266</v>
      </c>
      <c r="F2440" s="74" t="s">
        <v>1268</v>
      </c>
      <c r="G2440" s="74" t="s">
        <v>1268</v>
      </c>
    </row>
    <row r="2441" spans="1:7" x14ac:dyDescent="0.2">
      <c r="A2441" s="40">
        <v>9912</v>
      </c>
      <c r="B2441" s="39" t="s">
        <v>1599</v>
      </c>
      <c r="C2441" s="40" t="s">
        <v>871</v>
      </c>
      <c r="D2441" s="74" t="s">
        <v>1269</v>
      </c>
      <c r="E2441" s="74" t="s">
        <v>1266</v>
      </c>
      <c r="F2441" s="74" t="s">
        <v>1268</v>
      </c>
      <c r="G2441" s="74" t="s">
        <v>1267</v>
      </c>
    </row>
    <row r="2442" spans="1:7" x14ac:dyDescent="0.2">
      <c r="A2442" s="40">
        <v>9913</v>
      </c>
      <c r="B2442" s="39" t="s">
        <v>1600</v>
      </c>
      <c r="C2442" s="40" t="s">
        <v>871</v>
      </c>
      <c r="D2442" s="74" t="s">
        <v>1269</v>
      </c>
      <c r="E2442" s="74" t="s">
        <v>1266</v>
      </c>
      <c r="F2442" s="74" t="s">
        <v>1268</v>
      </c>
      <c r="G2442" s="74" t="s">
        <v>1268</v>
      </c>
    </row>
    <row r="2443" spans="1:7" x14ac:dyDescent="0.2">
      <c r="A2443" s="40">
        <v>9920</v>
      </c>
      <c r="B2443" s="39" t="s">
        <v>1601</v>
      </c>
      <c r="C2443" s="40" t="s">
        <v>871</v>
      </c>
      <c r="D2443" s="74" t="s">
        <v>1269</v>
      </c>
      <c r="E2443" s="74" t="s">
        <v>1266</v>
      </c>
      <c r="F2443" s="74" t="s">
        <v>1268</v>
      </c>
      <c r="G2443" s="74" t="s">
        <v>1268</v>
      </c>
    </row>
    <row r="2444" spans="1:7" x14ac:dyDescent="0.2">
      <c r="A2444" s="40">
        <v>9931</v>
      </c>
      <c r="B2444" s="39" t="s">
        <v>1602</v>
      </c>
      <c r="C2444" s="40" t="s">
        <v>871</v>
      </c>
      <c r="D2444" s="74" t="s">
        <v>1269</v>
      </c>
      <c r="E2444" s="74" t="s">
        <v>1266</v>
      </c>
      <c r="F2444" s="74" t="s">
        <v>1268</v>
      </c>
      <c r="G2444" s="74" t="s">
        <v>1267</v>
      </c>
    </row>
    <row r="2445" spans="1:7" x14ac:dyDescent="0.2">
      <c r="A2445" s="40">
        <v>9932</v>
      </c>
      <c r="B2445" s="39" t="s">
        <v>1603</v>
      </c>
      <c r="C2445" s="40" t="s">
        <v>871</v>
      </c>
      <c r="D2445" s="74" t="s">
        <v>1269</v>
      </c>
      <c r="E2445" s="74" t="s">
        <v>1266</v>
      </c>
      <c r="F2445" s="74" t="s">
        <v>1268</v>
      </c>
      <c r="G2445" s="74" t="s">
        <v>1268</v>
      </c>
    </row>
    <row r="2446" spans="1:7" x14ac:dyDescent="0.2">
      <c r="A2446" s="40">
        <v>9941</v>
      </c>
      <c r="B2446" s="39" t="s">
        <v>1604</v>
      </c>
      <c r="C2446" s="40" t="s">
        <v>871</v>
      </c>
      <c r="D2446" s="74" t="s">
        <v>1269</v>
      </c>
      <c r="E2446" s="74" t="s">
        <v>1266</v>
      </c>
      <c r="F2446" s="74" t="s">
        <v>1268</v>
      </c>
      <c r="G2446" s="74" t="s">
        <v>1268</v>
      </c>
    </row>
    <row r="2447" spans="1:7" x14ac:dyDescent="0.2">
      <c r="A2447" s="40">
        <v>9942</v>
      </c>
      <c r="B2447" s="39" t="s">
        <v>1605</v>
      </c>
      <c r="C2447" s="40" t="s">
        <v>871</v>
      </c>
      <c r="D2447" s="74" t="s">
        <v>1269</v>
      </c>
      <c r="E2447" s="74" t="s">
        <v>1266</v>
      </c>
      <c r="F2447" s="74" t="s">
        <v>1268</v>
      </c>
      <c r="G2447" s="74" t="s">
        <v>1267</v>
      </c>
    </row>
    <row r="2448" spans="1:7" x14ac:dyDescent="0.2">
      <c r="A2448" s="40">
        <v>9943</v>
      </c>
      <c r="B2448" s="39" t="s">
        <v>1606</v>
      </c>
      <c r="C2448" s="40" t="s">
        <v>871</v>
      </c>
      <c r="D2448" s="74" t="s">
        <v>1269</v>
      </c>
      <c r="E2448" s="74" t="s">
        <v>1266</v>
      </c>
      <c r="F2448" s="74" t="s">
        <v>1268</v>
      </c>
      <c r="G2448" s="74" t="s">
        <v>1267</v>
      </c>
    </row>
    <row r="2449" spans="1:7" x14ac:dyDescent="0.2">
      <c r="A2449" s="40">
        <v>9951</v>
      </c>
      <c r="B2449" s="39" t="s">
        <v>1607</v>
      </c>
      <c r="C2449" s="40" t="s">
        <v>871</v>
      </c>
      <c r="D2449" s="74" t="s">
        <v>1269</v>
      </c>
      <c r="E2449" s="74" t="s">
        <v>1266</v>
      </c>
      <c r="F2449" s="74" t="s">
        <v>1268</v>
      </c>
      <c r="G2449" s="74" t="s">
        <v>1268</v>
      </c>
    </row>
    <row r="2450" spans="1:7" x14ac:dyDescent="0.2">
      <c r="A2450" s="40">
        <v>9953</v>
      </c>
      <c r="B2450" s="39" t="s">
        <v>1608</v>
      </c>
      <c r="C2450" s="40" t="s">
        <v>871</v>
      </c>
      <c r="D2450" s="74" t="s">
        <v>417</v>
      </c>
      <c r="E2450" s="74" t="s">
        <v>418</v>
      </c>
      <c r="F2450" s="74" t="s">
        <v>1267</v>
      </c>
      <c r="G2450" s="74" t="s">
        <v>1267</v>
      </c>
    </row>
    <row r="2451" spans="1:7" x14ac:dyDescent="0.2">
      <c r="A2451" s="40">
        <v>9954</v>
      </c>
      <c r="B2451" s="39" t="s">
        <v>1609</v>
      </c>
      <c r="C2451" s="40" t="s">
        <v>871</v>
      </c>
      <c r="D2451" s="74" t="s">
        <v>1269</v>
      </c>
      <c r="E2451" s="74" t="s">
        <v>1266</v>
      </c>
      <c r="F2451" s="74" t="s">
        <v>1268</v>
      </c>
      <c r="G2451" s="74" t="s">
        <v>1267</v>
      </c>
    </row>
    <row r="2452" spans="1:7" x14ac:dyDescent="0.2">
      <c r="A2452" s="40">
        <v>9961</v>
      </c>
      <c r="B2452" s="39" t="s">
        <v>1610</v>
      </c>
      <c r="C2452" s="40" t="s">
        <v>871</v>
      </c>
      <c r="D2452" s="74" t="s">
        <v>1269</v>
      </c>
      <c r="E2452" s="74" t="s">
        <v>1266</v>
      </c>
      <c r="F2452" s="74" t="s">
        <v>1268</v>
      </c>
      <c r="G2452" s="74" t="s">
        <v>1267</v>
      </c>
    </row>
    <row r="2453" spans="1:7" x14ac:dyDescent="0.2">
      <c r="A2453" s="40">
        <v>9962</v>
      </c>
      <c r="B2453" s="39" t="s">
        <v>1611</v>
      </c>
      <c r="C2453" s="40" t="s">
        <v>871</v>
      </c>
      <c r="D2453" s="74" t="s">
        <v>1269</v>
      </c>
      <c r="E2453" s="74" t="s">
        <v>1266</v>
      </c>
      <c r="F2453" s="74" t="s">
        <v>1268</v>
      </c>
      <c r="G2453" s="74" t="s">
        <v>1267</v>
      </c>
    </row>
    <row r="2454" spans="1:7" x14ac:dyDescent="0.2">
      <c r="A2454" s="40">
        <v>9963</v>
      </c>
      <c r="B2454" s="39" t="s">
        <v>1612</v>
      </c>
      <c r="C2454" s="40" t="s">
        <v>871</v>
      </c>
      <c r="D2454" s="74" t="s">
        <v>1269</v>
      </c>
      <c r="E2454" s="74" t="s">
        <v>1266</v>
      </c>
      <c r="F2454" s="74" t="s">
        <v>1268</v>
      </c>
      <c r="G2454" s="74" t="s">
        <v>1268</v>
      </c>
    </row>
    <row r="2455" spans="1:7" x14ac:dyDescent="0.2">
      <c r="A2455" s="40">
        <v>9971</v>
      </c>
      <c r="B2455" s="39" t="s">
        <v>1613</v>
      </c>
      <c r="C2455" s="40" t="s">
        <v>871</v>
      </c>
      <c r="D2455" s="74" t="s">
        <v>1269</v>
      </c>
      <c r="E2455" s="74" t="s">
        <v>1266</v>
      </c>
      <c r="F2455" s="74" t="s">
        <v>1268</v>
      </c>
      <c r="G2455" s="74" t="s">
        <v>1268</v>
      </c>
    </row>
    <row r="2456" spans="1:7" x14ac:dyDescent="0.2">
      <c r="A2456" s="40">
        <v>9972</v>
      </c>
      <c r="B2456" s="39" t="s">
        <v>1614</v>
      </c>
      <c r="C2456" s="40" t="s">
        <v>871</v>
      </c>
      <c r="D2456" s="74" t="s">
        <v>1269</v>
      </c>
      <c r="E2456" s="74" t="s">
        <v>1266</v>
      </c>
      <c r="F2456" s="74" t="s">
        <v>1268</v>
      </c>
      <c r="G2456" s="74" t="s">
        <v>1267</v>
      </c>
    </row>
    <row r="2457" spans="1:7" x14ac:dyDescent="0.2">
      <c r="A2457" s="40">
        <v>9974</v>
      </c>
      <c r="B2457" s="39" t="s">
        <v>1615</v>
      </c>
      <c r="C2457" s="40" t="s">
        <v>871</v>
      </c>
      <c r="D2457" s="74" t="s">
        <v>1269</v>
      </c>
      <c r="E2457" s="74" t="s">
        <v>1266</v>
      </c>
      <c r="F2457" s="74" t="s">
        <v>1268</v>
      </c>
      <c r="G2457" s="74" t="s">
        <v>1267</v>
      </c>
    </row>
    <row r="2458" spans="1:7" x14ac:dyDescent="0.2">
      <c r="A2458" s="40">
        <v>9981</v>
      </c>
      <c r="B2458" s="39" t="s">
        <v>1616</v>
      </c>
      <c r="C2458" s="40" t="s">
        <v>871</v>
      </c>
      <c r="D2458" s="74" t="s">
        <v>1269</v>
      </c>
      <c r="E2458" s="74" t="s">
        <v>1266</v>
      </c>
      <c r="F2458" s="74" t="s">
        <v>1268</v>
      </c>
      <c r="G2458" s="74" t="s">
        <v>1268</v>
      </c>
    </row>
    <row r="2459" spans="1:7" x14ac:dyDescent="0.2">
      <c r="A2459" s="40">
        <v>9990</v>
      </c>
      <c r="B2459" s="39" t="s">
        <v>1617</v>
      </c>
      <c r="C2459" s="40" t="s">
        <v>871</v>
      </c>
      <c r="D2459" s="74" t="s">
        <v>1269</v>
      </c>
      <c r="E2459" s="74" t="s">
        <v>1266</v>
      </c>
      <c r="F2459" s="74" t="s">
        <v>1268</v>
      </c>
      <c r="G2459" s="74" t="s">
        <v>1268</v>
      </c>
    </row>
    <row r="2460" spans="1:7" x14ac:dyDescent="0.2">
      <c r="A2460" s="40">
        <v>9991</v>
      </c>
      <c r="B2460" s="39" t="s">
        <v>1618</v>
      </c>
      <c r="C2460" s="40" t="s">
        <v>871</v>
      </c>
      <c r="D2460" s="74" t="s">
        <v>1269</v>
      </c>
      <c r="E2460" s="74" t="s">
        <v>1266</v>
      </c>
      <c r="F2460" s="74" t="s">
        <v>1268</v>
      </c>
      <c r="G2460" s="74" t="s">
        <v>1267</v>
      </c>
    </row>
  </sheetData>
  <sheetProtection password="CC61" sheet="1" objects="1" scenarios="1" selectLockedCells="1" selectUnlockedCells="1"/>
  <phoneticPr fontId="0" type="noConversion"/>
  <pageMargins left="0.78740157499999996" right="0.78740157499999996" top="0.984251969" bottom="0.984251969" header="0.4921259845" footer="0.4921259845"/>
  <pageSetup paperSize="9" orientation="portrait" horizontalDpi="4294967293" r:id="rId1"/>
  <headerFooter alignWithMargins="0">
    <oddFooter>&amp;R_x000D_&amp;1#&amp;"Arial"&amp;7&amp;K000000 Klassifizierung: Vertraulich/Confidential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Tabelle10">
    <tabColor indexed="22"/>
  </sheetPr>
  <dimension ref="A1:CI126"/>
  <sheetViews>
    <sheetView topLeftCell="BU1" zoomScale="70" workbookViewId="0">
      <selection activeCell="A38" sqref="A38:CJ56"/>
    </sheetView>
  </sheetViews>
  <sheetFormatPr baseColWidth="10" defaultColWidth="11.28515625" defaultRowHeight="12" x14ac:dyDescent="0.2"/>
  <cols>
    <col min="1" max="1" width="26.7109375" style="51" bestFit="1" customWidth="1"/>
    <col min="2" max="2" width="9" style="51" bestFit="1" customWidth="1"/>
    <col min="3" max="11" width="7.28515625" style="51" bestFit="1" customWidth="1"/>
    <col min="12" max="12" width="7.7109375" style="51" bestFit="1" customWidth="1"/>
    <col min="13" max="17" width="7.28515625" style="51" bestFit="1" customWidth="1"/>
    <col min="18" max="18" width="9.28515625" style="51" customWidth="1"/>
    <col min="19" max="20" width="7" style="51" bestFit="1" customWidth="1"/>
    <col min="21" max="21" width="7.28515625" style="51" bestFit="1" customWidth="1"/>
    <col min="22" max="22" width="7.140625" style="51" bestFit="1" customWidth="1"/>
    <col min="23" max="23" width="7" style="51" bestFit="1" customWidth="1"/>
    <col min="24" max="24" width="7.7109375" style="51" bestFit="1" customWidth="1"/>
    <col min="25" max="25" width="7.28515625" style="51" bestFit="1" customWidth="1"/>
    <col min="26" max="26" width="7" style="51" bestFit="1" customWidth="1"/>
    <col min="27" max="27" width="7.140625" style="51" bestFit="1" customWidth="1"/>
    <col min="28" max="35" width="7.28515625" style="51" bestFit="1" customWidth="1"/>
    <col min="36" max="36" width="7.7109375" style="51" bestFit="1" customWidth="1"/>
    <col min="37" max="42" width="7.28515625" style="51" bestFit="1" customWidth="1"/>
    <col min="43" max="43" width="7.7109375" style="51" bestFit="1" customWidth="1"/>
    <col min="44" max="47" width="7.28515625" style="51" bestFit="1" customWidth="1"/>
    <col min="48" max="48" width="7.7109375" style="51" bestFit="1" customWidth="1"/>
    <col min="49" max="59" width="7.28515625" style="51" bestFit="1" customWidth="1"/>
    <col min="60" max="60" width="7.7109375" style="51" bestFit="1" customWidth="1"/>
    <col min="61" max="65" width="7.28515625" style="51" bestFit="1" customWidth="1"/>
    <col min="66" max="67" width="7.7109375" style="51" bestFit="1" customWidth="1"/>
    <col min="68" max="75" width="7.28515625" style="51" bestFit="1" customWidth="1"/>
    <col min="76" max="76" width="8.85546875" style="51" bestFit="1" customWidth="1"/>
    <col min="77" max="85" width="7.28515625" style="51" bestFit="1" customWidth="1"/>
    <col min="86" max="87" width="7" style="51" bestFit="1" customWidth="1"/>
    <col min="88" max="16384" width="11.28515625" style="51"/>
  </cols>
  <sheetData>
    <row r="1" spans="1:21" ht="26.45" customHeight="1" x14ac:dyDescent="0.25">
      <c r="A1" s="50" t="s">
        <v>1403</v>
      </c>
      <c r="E1" s="549" t="s">
        <v>1404</v>
      </c>
      <c r="F1" s="550"/>
      <c r="G1" s="550"/>
      <c r="H1" s="550"/>
      <c r="I1" s="550"/>
      <c r="J1" s="550"/>
      <c r="K1" s="550"/>
      <c r="L1" s="550"/>
      <c r="M1" s="550"/>
      <c r="N1" s="550"/>
      <c r="O1" s="550"/>
      <c r="P1" s="550"/>
      <c r="Q1" s="550"/>
      <c r="R1" s="550"/>
      <c r="S1" s="550"/>
      <c r="T1" s="550"/>
      <c r="U1" s="550"/>
    </row>
    <row r="2" spans="1:21" ht="26.45" customHeight="1" x14ac:dyDescent="0.25">
      <c r="A2" s="50"/>
    </row>
    <row r="3" spans="1:21" s="62" customFormat="1" ht="12.75" x14ac:dyDescent="0.2">
      <c r="Q3" s="1" t="s">
        <v>2355</v>
      </c>
    </row>
    <row r="4" spans="1:21" s="62" customFormat="1" x14ac:dyDescent="0.2"/>
    <row r="5" spans="1:21" s="62" customFormat="1" x14ac:dyDescent="0.2"/>
    <row r="6" spans="1:21" s="62" customFormat="1" x14ac:dyDescent="0.2"/>
    <row r="7" spans="1:21" s="62" customFormat="1" x14ac:dyDescent="0.2"/>
    <row r="8" spans="1:21" s="62" customFormat="1" x14ac:dyDescent="0.2"/>
    <row r="9" spans="1:21" s="62" customFormat="1" x14ac:dyDescent="0.2"/>
    <row r="10" spans="1:21" s="62" customFormat="1" x14ac:dyDescent="0.2"/>
    <row r="11" spans="1:21" s="62" customFormat="1" x14ac:dyDescent="0.2"/>
    <row r="12" spans="1:21" s="62" customFormat="1" x14ac:dyDescent="0.2"/>
    <row r="13" spans="1:21" s="62" customFormat="1" x14ac:dyDescent="0.2"/>
    <row r="14" spans="1:21" s="62" customFormat="1" x14ac:dyDescent="0.2"/>
    <row r="15" spans="1:21" s="62" customFormat="1" x14ac:dyDescent="0.2"/>
    <row r="16" spans="1:21" s="62" customFormat="1" x14ac:dyDescent="0.2"/>
    <row r="17" s="62" customFormat="1" x14ac:dyDescent="0.2"/>
    <row r="18" s="62" customFormat="1" x14ac:dyDescent="0.2"/>
    <row r="19" s="62" customFormat="1" x14ac:dyDescent="0.2"/>
    <row r="20" s="62" customFormat="1" x14ac:dyDescent="0.2"/>
    <row r="21" s="62" customFormat="1" x14ac:dyDescent="0.2"/>
    <row r="22" s="62" customFormat="1" x14ac:dyDescent="0.2"/>
    <row r="23" s="62" customFormat="1" x14ac:dyDescent="0.2"/>
    <row r="24" s="62" customFormat="1" x14ac:dyDescent="0.2"/>
    <row r="25" s="62" customFormat="1" x14ac:dyDescent="0.2"/>
    <row r="26" s="62" customFormat="1" x14ac:dyDescent="0.2"/>
    <row r="27" s="62" customFormat="1" x14ac:dyDescent="0.2"/>
    <row r="28" s="62" customFormat="1" x14ac:dyDescent="0.2"/>
    <row r="29" s="62" customFormat="1" x14ac:dyDescent="0.2"/>
    <row r="30" s="62" customFormat="1" x14ac:dyDescent="0.2"/>
    <row r="31" s="62" customFormat="1" x14ac:dyDescent="0.2"/>
    <row r="32" s="62" customFormat="1" x14ac:dyDescent="0.2"/>
    <row r="33" spans="1:87" s="62" customFormat="1" x14ac:dyDescent="0.2"/>
    <row r="34" spans="1:87" s="62" customFormat="1" x14ac:dyDescent="0.2"/>
    <row r="35" spans="1:87" s="62" customFormat="1" ht="12.75" x14ac:dyDescent="0.2">
      <c r="A35" s="53" t="s">
        <v>2359</v>
      </c>
    </row>
    <row r="36" spans="1:87" s="62" customFormat="1" ht="14.25" x14ac:dyDescent="0.2">
      <c r="A36" s="52" t="s">
        <v>2363</v>
      </c>
    </row>
    <row r="37" spans="1:87" s="62" customFormat="1" x14ac:dyDescent="0.2">
      <c r="A37" s="52" t="s">
        <v>2362</v>
      </c>
    </row>
    <row r="38" spans="1:87" s="62" customFormat="1" x14ac:dyDescent="0.2">
      <c r="B38" s="52"/>
    </row>
    <row r="39" spans="1:87" s="62" customFormat="1" x14ac:dyDescent="0.2">
      <c r="A39" s="63"/>
      <c r="B39" s="63" t="s">
        <v>2299</v>
      </c>
      <c r="C39" s="64">
        <v>37288</v>
      </c>
      <c r="D39" s="63" t="s">
        <v>2300</v>
      </c>
      <c r="E39" s="64">
        <v>37347</v>
      </c>
      <c r="F39" s="63" t="s">
        <v>2301</v>
      </c>
      <c r="G39" s="64">
        <v>37408</v>
      </c>
      <c r="H39" s="64">
        <v>37438</v>
      </c>
      <c r="I39" s="64">
        <v>37469</v>
      </c>
      <c r="J39" s="64">
        <v>37500</v>
      </c>
      <c r="K39" s="63" t="s">
        <v>2302</v>
      </c>
      <c r="L39" s="64">
        <v>37561</v>
      </c>
      <c r="M39" s="63" t="s">
        <v>2303</v>
      </c>
      <c r="N39" s="63" t="s">
        <v>2304</v>
      </c>
      <c r="O39" s="65">
        <v>37653</v>
      </c>
      <c r="P39" s="63" t="s">
        <v>2305</v>
      </c>
      <c r="Q39" s="65">
        <v>37712</v>
      </c>
      <c r="R39" s="63" t="s">
        <v>2306</v>
      </c>
      <c r="S39" s="65">
        <v>37773</v>
      </c>
      <c r="T39" s="65">
        <v>37803</v>
      </c>
      <c r="U39" s="65">
        <v>37834</v>
      </c>
      <c r="V39" s="65">
        <v>37865</v>
      </c>
      <c r="W39" s="63" t="s">
        <v>2307</v>
      </c>
      <c r="X39" s="65">
        <v>37926</v>
      </c>
      <c r="Y39" s="63" t="s">
        <v>2308</v>
      </c>
      <c r="Z39" s="63" t="s">
        <v>2309</v>
      </c>
      <c r="AA39" s="65">
        <v>38018</v>
      </c>
      <c r="AB39" s="63" t="s">
        <v>2310</v>
      </c>
      <c r="AC39" s="65">
        <v>38078</v>
      </c>
      <c r="AD39" s="63" t="s">
        <v>2311</v>
      </c>
      <c r="AE39" s="65">
        <v>38139</v>
      </c>
      <c r="AF39" s="65">
        <v>38169</v>
      </c>
      <c r="AG39" s="65">
        <v>38200</v>
      </c>
      <c r="AH39" s="65">
        <v>38231</v>
      </c>
      <c r="AI39" s="63" t="s">
        <v>2312</v>
      </c>
      <c r="AJ39" s="65">
        <v>38292</v>
      </c>
      <c r="AK39" s="63" t="s">
        <v>2313</v>
      </c>
      <c r="AL39" s="65" t="s">
        <v>2314</v>
      </c>
      <c r="AM39" s="65">
        <v>38384</v>
      </c>
      <c r="AN39" s="65" t="s">
        <v>2315</v>
      </c>
      <c r="AO39" s="64">
        <v>38443</v>
      </c>
      <c r="AP39" s="65" t="s">
        <v>2316</v>
      </c>
      <c r="AQ39" s="64" t="s">
        <v>2317</v>
      </c>
      <c r="AR39" s="63" t="s">
        <v>2318</v>
      </c>
      <c r="AS39" s="66">
        <v>38565</v>
      </c>
      <c r="AT39" s="66">
        <v>38596</v>
      </c>
      <c r="AU39" s="66" t="s">
        <v>2319</v>
      </c>
      <c r="AV39" s="64">
        <v>38657</v>
      </c>
      <c r="AW39" s="63" t="s">
        <v>2320</v>
      </c>
      <c r="AX39" s="64" t="s">
        <v>2325</v>
      </c>
      <c r="AY39" s="64">
        <v>38749</v>
      </c>
      <c r="AZ39" s="64" t="s">
        <v>2326</v>
      </c>
      <c r="BA39" s="66">
        <v>38808</v>
      </c>
      <c r="BB39" s="64" t="s">
        <v>2327</v>
      </c>
      <c r="BC39" s="66">
        <v>38869</v>
      </c>
      <c r="BD39" s="66">
        <v>38899</v>
      </c>
      <c r="BE39" s="66">
        <v>38930</v>
      </c>
      <c r="BF39" s="66">
        <v>38961</v>
      </c>
      <c r="BG39" s="66" t="s">
        <v>2328</v>
      </c>
      <c r="BH39" s="66">
        <v>39022</v>
      </c>
      <c r="BI39" s="66" t="s">
        <v>2329</v>
      </c>
      <c r="BJ39" s="66" t="s">
        <v>2330</v>
      </c>
      <c r="BK39" s="66">
        <v>39114</v>
      </c>
      <c r="BL39" s="66" t="s">
        <v>2331</v>
      </c>
      <c r="BM39" s="66">
        <v>39173</v>
      </c>
      <c r="BN39" s="66" t="s">
        <v>2332</v>
      </c>
      <c r="BO39" s="66" t="s">
        <v>2333</v>
      </c>
      <c r="BP39" s="63" t="s">
        <v>2334</v>
      </c>
      <c r="BQ39" s="64">
        <v>39295</v>
      </c>
      <c r="BR39" s="64">
        <v>39326</v>
      </c>
      <c r="BS39" s="63" t="s">
        <v>2335</v>
      </c>
      <c r="BT39" s="64">
        <v>39387</v>
      </c>
      <c r="BU39" s="64">
        <v>39417</v>
      </c>
      <c r="BV39" s="63" t="s">
        <v>2336</v>
      </c>
      <c r="BW39" s="64">
        <v>39479</v>
      </c>
      <c r="BX39" s="64" t="s">
        <v>2337</v>
      </c>
      <c r="BY39" s="64">
        <v>39539</v>
      </c>
      <c r="BZ39" s="64">
        <v>39569</v>
      </c>
      <c r="CA39" s="64">
        <v>39600</v>
      </c>
      <c r="CB39" s="64">
        <v>39630</v>
      </c>
      <c r="CC39" s="64">
        <v>39661</v>
      </c>
      <c r="CD39" s="64">
        <v>39692</v>
      </c>
      <c r="CE39" s="64">
        <v>39722</v>
      </c>
      <c r="CF39" s="64">
        <v>39753</v>
      </c>
      <c r="CG39" s="64">
        <v>39783</v>
      </c>
      <c r="CH39" s="63" t="s">
        <v>2338</v>
      </c>
      <c r="CI39" s="64">
        <v>39845</v>
      </c>
    </row>
    <row r="40" spans="1:87" s="62" customFormat="1" x14ac:dyDescent="0.2">
      <c r="A40" s="66"/>
      <c r="B40" s="66">
        <v>37257</v>
      </c>
      <c r="C40" s="66">
        <v>37288</v>
      </c>
      <c r="D40" s="66">
        <v>37316</v>
      </c>
      <c r="E40" s="66">
        <v>37347</v>
      </c>
      <c r="F40" s="66">
        <v>37377</v>
      </c>
      <c r="G40" s="66">
        <v>37408</v>
      </c>
      <c r="H40" s="66">
        <v>37438</v>
      </c>
      <c r="I40" s="66">
        <v>37469</v>
      </c>
      <c r="J40" s="66">
        <v>37500</v>
      </c>
      <c r="K40" s="66">
        <v>37530</v>
      </c>
      <c r="L40" s="66">
        <v>37561</v>
      </c>
      <c r="M40" s="66">
        <v>37591</v>
      </c>
      <c r="N40" s="66">
        <v>37622</v>
      </c>
      <c r="O40" s="66">
        <v>37653</v>
      </c>
      <c r="P40" s="66">
        <v>37681</v>
      </c>
      <c r="Q40" s="66">
        <v>37712</v>
      </c>
      <c r="R40" s="66">
        <v>37742</v>
      </c>
      <c r="S40" s="66">
        <v>37773</v>
      </c>
      <c r="T40" s="66">
        <v>37803</v>
      </c>
      <c r="U40" s="66">
        <v>37834</v>
      </c>
      <c r="V40" s="66">
        <v>37865</v>
      </c>
      <c r="W40" s="66">
        <v>37895</v>
      </c>
      <c r="X40" s="66">
        <v>37926</v>
      </c>
      <c r="Y40" s="66">
        <v>37956</v>
      </c>
      <c r="Z40" s="66">
        <v>37987</v>
      </c>
      <c r="AA40" s="66">
        <v>38018</v>
      </c>
      <c r="AB40" s="66">
        <v>38047</v>
      </c>
      <c r="AC40" s="66">
        <v>38078</v>
      </c>
      <c r="AD40" s="66">
        <v>38108</v>
      </c>
      <c r="AE40" s="66">
        <v>38139</v>
      </c>
      <c r="AF40" s="66">
        <v>38169</v>
      </c>
      <c r="AG40" s="66">
        <v>38200</v>
      </c>
      <c r="AH40" s="66">
        <v>38231</v>
      </c>
      <c r="AI40" s="66">
        <v>38261</v>
      </c>
      <c r="AJ40" s="66">
        <v>38292</v>
      </c>
      <c r="AK40" s="66">
        <v>38322</v>
      </c>
      <c r="AL40" s="66">
        <v>38353</v>
      </c>
      <c r="AM40" s="66">
        <v>38384</v>
      </c>
      <c r="AN40" s="66">
        <v>38412</v>
      </c>
      <c r="AO40" s="66">
        <v>38443</v>
      </c>
      <c r="AP40" s="66">
        <v>38473</v>
      </c>
      <c r="AQ40" s="66">
        <v>38504</v>
      </c>
      <c r="AR40" s="66">
        <v>38534</v>
      </c>
      <c r="AS40" s="66">
        <v>38565</v>
      </c>
      <c r="AT40" s="66">
        <v>38596</v>
      </c>
      <c r="AU40" s="66">
        <v>38626</v>
      </c>
      <c r="AV40" s="66">
        <v>38657</v>
      </c>
      <c r="AW40" s="66">
        <v>38687</v>
      </c>
      <c r="AX40" s="66">
        <v>38718</v>
      </c>
      <c r="AY40" s="66">
        <v>38749</v>
      </c>
      <c r="AZ40" s="66">
        <v>38777</v>
      </c>
      <c r="BA40" s="66">
        <v>38808</v>
      </c>
      <c r="BB40" s="66">
        <v>38838</v>
      </c>
      <c r="BC40" s="66">
        <v>38869</v>
      </c>
      <c r="BD40" s="66">
        <v>38899</v>
      </c>
      <c r="BE40" s="66">
        <v>38930</v>
      </c>
      <c r="BF40" s="66">
        <v>38961</v>
      </c>
      <c r="BG40" s="66">
        <v>38991</v>
      </c>
      <c r="BH40" s="66">
        <v>39022</v>
      </c>
      <c r="BI40" s="66">
        <v>39052</v>
      </c>
      <c r="BJ40" s="66" t="s">
        <v>2339</v>
      </c>
      <c r="BK40" s="66">
        <v>39114</v>
      </c>
      <c r="BL40" s="66">
        <v>39142</v>
      </c>
      <c r="BM40" s="66">
        <v>39173</v>
      </c>
      <c r="BN40" s="66">
        <v>39203</v>
      </c>
      <c r="BO40" s="66">
        <v>39234</v>
      </c>
      <c r="BP40" s="64">
        <v>39264</v>
      </c>
      <c r="BQ40" s="64">
        <v>39295</v>
      </c>
      <c r="BR40" s="64">
        <v>39326</v>
      </c>
      <c r="BS40" s="63" t="s">
        <v>2335</v>
      </c>
      <c r="BT40" s="64">
        <v>39387</v>
      </c>
      <c r="BU40" s="64">
        <v>39417</v>
      </c>
      <c r="BV40" s="63" t="s">
        <v>2336</v>
      </c>
      <c r="BW40" s="64">
        <v>39479</v>
      </c>
      <c r="BX40" s="64">
        <v>39508</v>
      </c>
      <c r="BY40" s="64">
        <v>39539</v>
      </c>
      <c r="BZ40" s="64">
        <v>39569</v>
      </c>
      <c r="CA40" s="64">
        <v>39600</v>
      </c>
      <c r="CB40" s="64">
        <v>39630</v>
      </c>
      <c r="CC40" s="64">
        <v>39661</v>
      </c>
      <c r="CD40" s="64">
        <v>39692</v>
      </c>
      <c r="CE40" s="64">
        <v>39722</v>
      </c>
      <c r="CF40" s="64">
        <v>39753</v>
      </c>
      <c r="CG40" s="63" t="s">
        <v>2340</v>
      </c>
      <c r="CH40" s="63" t="s">
        <v>2338</v>
      </c>
      <c r="CI40" s="64">
        <v>39845</v>
      </c>
    </row>
    <row r="41" spans="1:87" s="62" customFormat="1" x14ac:dyDescent="0.2">
      <c r="A41" s="67" t="s">
        <v>2341</v>
      </c>
      <c r="B41" s="68">
        <v>16.241714285714288</v>
      </c>
      <c r="C41" s="68">
        <v>16.241714285714288</v>
      </c>
      <c r="D41" s="68">
        <v>16.241714285714288</v>
      </c>
      <c r="E41" s="68">
        <v>16.242171428571428</v>
      </c>
      <c r="F41" s="68">
        <v>16.242171428571428</v>
      </c>
      <c r="G41" s="68">
        <v>16.24182857142857</v>
      </c>
      <c r="H41" s="68">
        <v>16.24182857142857</v>
      </c>
      <c r="I41" s="68">
        <v>16.24182857142857</v>
      </c>
      <c r="J41" s="68">
        <v>16.24182857142857</v>
      </c>
      <c r="K41" s="68">
        <v>16.413257142857141</v>
      </c>
      <c r="L41" s="68">
        <v>16.413257142857141</v>
      </c>
      <c r="M41" s="68">
        <v>16.413257142857141</v>
      </c>
      <c r="N41" s="68">
        <v>16.570971428571426</v>
      </c>
      <c r="O41" s="68">
        <v>16.515085714285714</v>
      </c>
      <c r="P41" s="68">
        <v>16.515085714285714</v>
      </c>
      <c r="Q41" s="68">
        <v>16.515085714285714</v>
      </c>
      <c r="R41" s="68">
        <v>16.391657142857145</v>
      </c>
      <c r="S41" s="68">
        <v>16.391657142857145</v>
      </c>
      <c r="T41" s="68">
        <v>16.391657142857145</v>
      </c>
      <c r="U41" s="68">
        <v>16.391657142857145</v>
      </c>
      <c r="V41" s="68">
        <v>16.391657142857145</v>
      </c>
      <c r="W41" s="68">
        <v>16.391657142857145</v>
      </c>
      <c r="X41" s="68">
        <v>16.391657142857145</v>
      </c>
      <c r="Y41" s="68">
        <v>16.391657142857145</v>
      </c>
      <c r="Z41" s="68">
        <v>16.385828571428572</v>
      </c>
      <c r="AA41" s="68">
        <v>16.385828571428572</v>
      </c>
      <c r="AB41" s="68">
        <v>16.385828571428572</v>
      </c>
      <c r="AC41" s="68">
        <v>16.505485714285715</v>
      </c>
      <c r="AD41" s="68">
        <v>16.505485714285715</v>
      </c>
      <c r="AE41" s="68">
        <v>16.505485714285715</v>
      </c>
      <c r="AF41" s="68">
        <v>16.505485714285715</v>
      </c>
      <c r="AG41" s="68">
        <v>16.505485714285715</v>
      </c>
      <c r="AH41" s="68">
        <v>16.50582857142857</v>
      </c>
      <c r="AI41" s="68">
        <v>16.50582857142857</v>
      </c>
      <c r="AJ41" s="68">
        <v>16.50582857142857</v>
      </c>
      <c r="AK41" s="68">
        <v>16.50582857142857</v>
      </c>
      <c r="AL41" s="68">
        <v>16.50582857142857</v>
      </c>
      <c r="AM41" s="68">
        <v>16.50582857142857</v>
      </c>
      <c r="AN41" s="68">
        <v>16.521257142857145</v>
      </c>
      <c r="AO41" s="68">
        <v>16.521257142857145</v>
      </c>
      <c r="AP41" s="68">
        <v>16.521257142857145</v>
      </c>
      <c r="AQ41" s="68">
        <v>15.2508571428571</v>
      </c>
      <c r="AR41" s="68">
        <v>15.627428571428572</v>
      </c>
      <c r="AS41" s="68">
        <v>15.627428571428572</v>
      </c>
      <c r="AT41" s="68">
        <v>15.627428571428572</v>
      </c>
      <c r="AU41" s="68">
        <v>15.627428571428572</v>
      </c>
      <c r="AV41" s="68">
        <v>15.627428571428601</v>
      </c>
      <c r="AW41" s="68">
        <v>15.627428571428601</v>
      </c>
      <c r="AX41" s="68">
        <v>15.293428571428571</v>
      </c>
      <c r="AY41" s="68">
        <v>15.807771428571426</v>
      </c>
      <c r="AZ41" s="68">
        <v>15.807771428571426</v>
      </c>
      <c r="BA41" s="68">
        <v>15.807771428571426</v>
      </c>
      <c r="BB41" s="68">
        <v>15.807771428571426</v>
      </c>
      <c r="BC41" s="68">
        <v>15.807771428571426</v>
      </c>
      <c r="BD41" s="68">
        <v>15.783428571428571</v>
      </c>
      <c r="BE41" s="68">
        <v>15.783428571428571</v>
      </c>
      <c r="BF41" s="68">
        <v>15.783428571428571</v>
      </c>
      <c r="BG41" s="68">
        <v>15.783428571428599</v>
      </c>
      <c r="BH41" s="68">
        <v>15.783428571428599</v>
      </c>
      <c r="BI41" s="68">
        <v>15.783428571428701</v>
      </c>
      <c r="BJ41" s="68">
        <v>16.995999999999999</v>
      </c>
      <c r="BK41" s="68">
        <v>16.995999999999999</v>
      </c>
      <c r="BL41" s="68">
        <v>16.995999999999999</v>
      </c>
      <c r="BM41" s="68">
        <v>16.995999999999999</v>
      </c>
      <c r="BN41" s="68">
        <v>16.995999999999999</v>
      </c>
      <c r="BO41" s="68">
        <v>16.995999999999999</v>
      </c>
      <c r="BP41" s="63">
        <v>17</v>
      </c>
      <c r="BQ41" s="63">
        <v>17</v>
      </c>
      <c r="BR41" s="63">
        <v>17</v>
      </c>
      <c r="BS41" s="63">
        <v>17</v>
      </c>
      <c r="BT41" s="63">
        <v>17</v>
      </c>
      <c r="BU41" s="63">
        <v>16.55</v>
      </c>
      <c r="BV41" s="63">
        <v>16.940000000000001</v>
      </c>
      <c r="BW41" s="63">
        <v>16.940000000000001</v>
      </c>
      <c r="BX41" s="63">
        <v>16.940000000000001</v>
      </c>
      <c r="BY41" s="63">
        <v>16.940000000000001</v>
      </c>
      <c r="BZ41" s="63">
        <v>16.940000000000001</v>
      </c>
      <c r="CA41" s="63">
        <v>17.66</v>
      </c>
      <c r="CB41" s="63">
        <v>17.66</v>
      </c>
      <c r="CC41" s="63">
        <v>17.66</v>
      </c>
      <c r="CD41" s="63">
        <v>17.66</v>
      </c>
      <c r="CE41" s="63">
        <v>17.66</v>
      </c>
      <c r="CF41" s="63">
        <v>17.559999999999999</v>
      </c>
      <c r="CG41" s="63">
        <v>17.559999999999999</v>
      </c>
      <c r="CH41" s="63">
        <v>17.149999999999999</v>
      </c>
      <c r="CI41" s="63">
        <v>16.420000000000002</v>
      </c>
    </row>
    <row r="42" spans="1:87" s="62" customFormat="1" x14ac:dyDescent="0.2">
      <c r="A42" s="67" t="s">
        <v>2342</v>
      </c>
      <c r="B42" s="68">
        <v>16.277142857142859</v>
      </c>
      <c r="C42" s="68">
        <v>16.277142857142859</v>
      </c>
      <c r="D42" s="68">
        <v>16.381142857142859</v>
      </c>
      <c r="E42" s="68">
        <v>16.381028571428573</v>
      </c>
      <c r="F42" s="68">
        <v>15.712800000000003</v>
      </c>
      <c r="G42" s="68">
        <v>15.712800000000003</v>
      </c>
      <c r="H42" s="68">
        <v>15.712800000000003</v>
      </c>
      <c r="I42" s="68">
        <v>15.712800000000003</v>
      </c>
      <c r="J42" s="68">
        <v>15.712800000000003</v>
      </c>
      <c r="K42" s="68">
        <v>15.712800000000003</v>
      </c>
      <c r="L42" s="68">
        <v>15.712800000000003</v>
      </c>
      <c r="M42" s="68">
        <v>15.712800000000003</v>
      </c>
      <c r="N42" s="68">
        <v>16.087542857142857</v>
      </c>
      <c r="O42" s="68">
        <v>16.029600000000002</v>
      </c>
      <c r="P42" s="68">
        <v>16.029600000000002</v>
      </c>
      <c r="Q42" s="68">
        <v>16.029600000000002</v>
      </c>
      <c r="R42" s="68">
        <v>16.029600000000002</v>
      </c>
      <c r="S42" s="68">
        <v>16.029600000000002</v>
      </c>
      <c r="T42" s="68">
        <v>16.029600000000002</v>
      </c>
      <c r="U42" s="68">
        <v>16.029600000000002</v>
      </c>
      <c r="V42" s="68">
        <v>16.029600000000002</v>
      </c>
      <c r="W42" s="68">
        <v>16.029600000000002</v>
      </c>
      <c r="X42" s="68">
        <v>15.526285714285713</v>
      </c>
      <c r="Y42" s="68">
        <v>15.526285714285713</v>
      </c>
      <c r="Z42" s="68">
        <v>15.852000000000002</v>
      </c>
      <c r="AA42" s="68">
        <v>15.852000000000002</v>
      </c>
      <c r="AB42" s="68">
        <v>15.852000000000002</v>
      </c>
      <c r="AC42" s="68">
        <v>15.971657142857143</v>
      </c>
      <c r="AD42" s="68">
        <v>15.971657142857143</v>
      </c>
      <c r="AE42" s="68">
        <v>15.971657142857143</v>
      </c>
      <c r="AF42" s="68">
        <v>15.971657142857143</v>
      </c>
      <c r="AG42" s="68">
        <v>15.971657142857143</v>
      </c>
      <c r="AH42" s="68">
        <v>15.972</v>
      </c>
      <c r="AI42" s="68">
        <v>15.972</v>
      </c>
      <c r="AJ42" s="68">
        <v>15.972</v>
      </c>
      <c r="AK42" s="68">
        <v>15.972</v>
      </c>
      <c r="AL42" s="68">
        <v>15.972</v>
      </c>
      <c r="AM42" s="68">
        <v>15.972</v>
      </c>
      <c r="AN42" s="68">
        <v>15.98742857142857</v>
      </c>
      <c r="AO42" s="68">
        <v>15.98742857142857</v>
      </c>
      <c r="AP42" s="68">
        <v>15.987428571428573</v>
      </c>
      <c r="AQ42" s="68">
        <v>15.0394285714285</v>
      </c>
      <c r="AR42" s="68">
        <v>15.415885714285716</v>
      </c>
      <c r="AS42" s="68">
        <v>15.415885714285716</v>
      </c>
      <c r="AT42" s="68">
        <v>15.415885714285716</v>
      </c>
      <c r="AU42" s="68">
        <v>15.415885714285716</v>
      </c>
      <c r="AV42" s="68">
        <v>15.4158857142857</v>
      </c>
      <c r="AW42" s="68">
        <v>15.4158857142857</v>
      </c>
      <c r="AX42" s="68">
        <v>15.225714285714284</v>
      </c>
      <c r="AY42" s="68">
        <v>15.739885714285712</v>
      </c>
      <c r="AZ42" s="68">
        <v>15.739885714285712</v>
      </c>
      <c r="BA42" s="68">
        <v>15.739885714285712</v>
      </c>
      <c r="BB42" s="68">
        <v>15.739885714285712</v>
      </c>
      <c r="BC42" s="68">
        <v>15.739885714285712</v>
      </c>
      <c r="BD42" s="68">
        <v>15.696</v>
      </c>
      <c r="BE42" s="68">
        <v>15.696</v>
      </c>
      <c r="BF42" s="68">
        <v>15.696</v>
      </c>
      <c r="BG42" s="68">
        <v>15.696</v>
      </c>
      <c r="BH42" s="68">
        <v>15.696</v>
      </c>
      <c r="BI42" s="68">
        <v>15.696</v>
      </c>
      <c r="BJ42" s="68">
        <v>16.68542857142857</v>
      </c>
      <c r="BK42" s="68">
        <v>16.68542857142857</v>
      </c>
      <c r="BL42" s="68">
        <v>16.68542857142857</v>
      </c>
      <c r="BM42" s="68">
        <v>16.68542857142857</v>
      </c>
      <c r="BN42" s="68">
        <v>16.68542857142857</v>
      </c>
      <c r="BO42" s="68">
        <v>16.68542857142857</v>
      </c>
      <c r="BP42" s="63">
        <v>16.690000000000001</v>
      </c>
      <c r="BQ42" s="63">
        <v>16.690000000000001</v>
      </c>
      <c r="BR42" s="63">
        <v>16.690000000000001</v>
      </c>
      <c r="BS42" s="63">
        <v>16.690000000000001</v>
      </c>
      <c r="BT42" s="63">
        <v>16.690000000000001</v>
      </c>
      <c r="BU42" s="63">
        <v>16.239999999999998</v>
      </c>
      <c r="BV42" s="63">
        <v>16.61</v>
      </c>
      <c r="BW42" s="63">
        <v>16.61</v>
      </c>
      <c r="BX42" s="63">
        <v>16.61</v>
      </c>
      <c r="BY42" s="63">
        <v>16.61</v>
      </c>
      <c r="BZ42" s="63">
        <v>16.61</v>
      </c>
      <c r="CA42" s="63">
        <v>17.329999999999998</v>
      </c>
      <c r="CB42" s="63">
        <v>17.329999999999998</v>
      </c>
      <c r="CC42" s="63">
        <v>17.329999999999998</v>
      </c>
      <c r="CD42" s="63">
        <v>17.329999999999998</v>
      </c>
      <c r="CE42" s="63">
        <v>17.329999999999998</v>
      </c>
      <c r="CF42" s="63">
        <v>17.23</v>
      </c>
      <c r="CG42" s="63">
        <v>17.23</v>
      </c>
      <c r="CH42" s="63">
        <v>17.149999999999999</v>
      </c>
      <c r="CI42" s="63">
        <v>16.45</v>
      </c>
    </row>
    <row r="43" spans="1:87" s="62" customFormat="1" x14ac:dyDescent="0.2">
      <c r="A43" s="67" t="s">
        <v>2343</v>
      </c>
      <c r="B43" s="68">
        <v>15.751714285714284</v>
      </c>
      <c r="C43" s="68">
        <v>15.751714285714284</v>
      </c>
      <c r="D43" s="68">
        <v>15.741142857142858</v>
      </c>
      <c r="E43" s="68">
        <v>15.741257142857142</v>
      </c>
      <c r="F43" s="68">
        <v>15.741257142857142</v>
      </c>
      <c r="G43" s="68">
        <v>15.521485714285717</v>
      </c>
      <c r="H43" s="68">
        <v>15.521485714285717</v>
      </c>
      <c r="I43" s="68">
        <v>15.521485714285717</v>
      </c>
      <c r="J43" s="68">
        <v>15.418285714285714</v>
      </c>
      <c r="K43" s="68">
        <v>15.418285714285714</v>
      </c>
      <c r="L43" s="68">
        <v>15.418285714285714</v>
      </c>
      <c r="M43" s="68">
        <v>15.418285714285714</v>
      </c>
      <c r="N43" s="68">
        <v>15.285257142857141</v>
      </c>
      <c r="O43" s="68">
        <v>15.285257142857141</v>
      </c>
      <c r="P43" s="68">
        <v>15.567428571428572</v>
      </c>
      <c r="Q43" s="68">
        <v>15.79337142857143</v>
      </c>
      <c r="R43" s="68">
        <v>15.79337142857143</v>
      </c>
      <c r="S43" s="68">
        <v>15.79337142857143</v>
      </c>
      <c r="T43" s="68">
        <v>15.79337142857143</v>
      </c>
      <c r="U43" s="68">
        <v>15.79337142857143</v>
      </c>
      <c r="V43" s="68">
        <v>15.79337142857143</v>
      </c>
      <c r="W43" s="68">
        <v>15.79337142857143</v>
      </c>
      <c r="X43" s="68">
        <v>15.35417142857143</v>
      </c>
      <c r="Y43" s="68">
        <v>15.35417142857143</v>
      </c>
      <c r="Z43" s="68">
        <v>15.679885714285716</v>
      </c>
      <c r="AA43" s="68">
        <v>15.679885714285716</v>
      </c>
      <c r="AB43" s="68">
        <v>15.679885714285716</v>
      </c>
      <c r="AC43" s="68">
        <v>15.799542857142859</v>
      </c>
      <c r="AD43" s="68">
        <v>15.799542857142859</v>
      </c>
      <c r="AE43" s="68">
        <v>15.799542857142859</v>
      </c>
      <c r="AF43" s="68">
        <v>15.799542857142859</v>
      </c>
      <c r="AG43" s="68">
        <v>15.799542857142859</v>
      </c>
      <c r="AH43" s="68">
        <v>15.799885714285713</v>
      </c>
      <c r="AI43" s="68">
        <v>15.799885714285713</v>
      </c>
      <c r="AJ43" s="68">
        <v>15.799885714285713</v>
      </c>
      <c r="AK43" s="68">
        <v>15.799885714285713</v>
      </c>
      <c r="AL43" s="68">
        <v>15.799885714285713</v>
      </c>
      <c r="AM43" s="68">
        <v>15.078171428571428</v>
      </c>
      <c r="AN43" s="68">
        <v>15.078171428571428</v>
      </c>
      <c r="AO43" s="68">
        <v>15.078171428571428</v>
      </c>
      <c r="AP43" s="68">
        <v>15.078171428571432</v>
      </c>
      <c r="AQ43" s="68">
        <v>15.078171428571432</v>
      </c>
      <c r="AR43" s="68">
        <v>15.454628571428572</v>
      </c>
      <c r="AS43" s="68">
        <v>15.454628571428572</v>
      </c>
      <c r="AT43" s="68">
        <v>15.454628571428572</v>
      </c>
      <c r="AU43" s="68">
        <v>15.454628571428572</v>
      </c>
      <c r="AV43" s="68">
        <v>15.4546285714286</v>
      </c>
      <c r="AW43" s="68">
        <v>15.4546285714286</v>
      </c>
      <c r="AX43" s="68">
        <v>15.097142857142856</v>
      </c>
      <c r="AY43" s="68">
        <v>15.611314285714284</v>
      </c>
      <c r="AZ43" s="68">
        <v>15.611314285714284</v>
      </c>
      <c r="BA43" s="68">
        <v>15.611314285714284</v>
      </c>
      <c r="BB43" s="68">
        <v>15.611314285714284</v>
      </c>
      <c r="BC43" s="68">
        <v>15.611314285714284</v>
      </c>
      <c r="BD43" s="68">
        <v>15.553714285714285</v>
      </c>
      <c r="BE43" s="68">
        <v>15.553714285714285</v>
      </c>
      <c r="BF43" s="68">
        <v>15.553714285714285</v>
      </c>
      <c r="BG43" s="68">
        <v>15.5537142857143</v>
      </c>
      <c r="BH43" s="68">
        <v>15.5537142857143</v>
      </c>
      <c r="BI43" s="68">
        <v>15.5537142857143</v>
      </c>
      <c r="BJ43" s="68">
        <v>16.483428571428572</v>
      </c>
      <c r="BK43" s="68">
        <v>16.483428571428572</v>
      </c>
      <c r="BL43" s="68">
        <v>16.483428571428572</v>
      </c>
      <c r="BM43" s="68">
        <v>16.483428571428572</v>
      </c>
      <c r="BN43" s="68">
        <v>16.483428571428572</v>
      </c>
      <c r="BO43" s="68">
        <v>16.483428571428572</v>
      </c>
      <c r="BP43" s="63">
        <v>16.48</v>
      </c>
      <c r="BQ43" s="63">
        <v>16.48</v>
      </c>
      <c r="BR43" s="63">
        <v>16.48</v>
      </c>
      <c r="BS43" s="63">
        <v>16.48</v>
      </c>
      <c r="BT43" s="63">
        <v>16.48</v>
      </c>
      <c r="BU43" s="63">
        <v>16.04</v>
      </c>
      <c r="BV43" s="63">
        <v>16.41</v>
      </c>
      <c r="BW43" s="63">
        <v>16.41</v>
      </c>
      <c r="BX43" s="63">
        <v>16.41</v>
      </c>
      <c r="BY43" s="63">
        <v>16.41</v>
      </c>
      <c r="BZ43" s="63">
        <v>16.41</v>
      </c>
      <c r="CA43" s="63">
        <v>17.13</v>
      </c>
      <c r="CB43" s="63">
        <v>17.13</v>
      </c>
      <c r="CC43" s="63">
        <v>17.13</v>
      </c>
      <c r="CD43" s="63">
        <v>17.13</v>
      </c>
      <c r="CE43" s="63">
        <v>17.13</v>
      </c>
      <c r="CF43" s="63">
        <v>17.03</v>
      </c>
      <c r="CG43" s="63">
        <v>17.03</v>
      </c>
      <c r="CH43" s="63">
        <v>16.91</v>
      </c>
      <c r="CI43" s="63">
        <v>16.16</v>
      </c>
    </row>
    <row r="44" spans="1:87" s="62" customFormat="1" x14ac:dyDescent="0.2">
      <c r="A44" s="67" t="s">
        <v>2344</v>
      </c>
      <c r="B44" s="68">
        <v>14.736857142857142</v>
      </c>
      <c r="C44" s="68">
        <v>14.736857142857142</v>
      </c>
      <c r="D44" s="68">
        <v>14.736857142857142</v>
      </c>
      <c r="E44" s="68">
        <v>14.736685714285715</v>
      </c>
      <c r="F44" s="68">
        <v>14.736685714285715</v>
      </c>
      <c r="G44" s="68">
        <v>14.736685714285715</v>
      </c>
      <c r="H44" s="68">
        <v>14.736685714285715</v>
      </c>
      <c r="I44" s="68">
        <v>14.736685714285715</v>
      </c>
      <c r="J44" s="68">
        <v>14.736685714285715</v>
      </c>
      <c r="K44" s="68">
        <v>14.736685714285715</v>
      </c>
      <c r="L44" s="68">
        <v>14.736685714285715</v>
      </c>
      <c r="M44" s="68">
        <v>14.736685714285715</v>
      </c>
      <c r="N44" s="68">
        <v>15.40217142857143</v>
      </c>
      <c r="O44" s="68">
        <v>15.344228571428571</v>
      </c>
      <c r="P44" s="68">
        <v>15.344228571428571</v>
      </c>
      <c r="Q44" s="68">
        <v>15.344228571428571</v>
      </c>
      <c r="R44" s="68">
        <v>15.344228571428571</v>
      </c>
      <c r="S44" s="68">
        <v>15.344228571428571</v>
      </c>
      <c r="T44" s="68">
        <v>15.344228571428571</v>
      </c>
      <c r="U44" s="68">
        <v>15.344228571428571</v>
      </c>
      <c r="V44" s="68">
        <v>15.344228571428571</v>
      </c>
      <c r="W44" s="68">
        <v>15.344228571428571</v>
      </c>
      <c r="X44" s="68">
        <v>15.34937142857143</v>
      </c>
      <c r="Y44" s="68">
        <v>15.34937142857143</v>
      </c>
      <c r="Z44" s="68">
        <v>15.91954285714286</v>
      </c>
      <c r="AA44" s="68">
        <v>15.91954285714286</v>
      </c>
      <c r="AB44" s="68">
        <v>15.91954285714286</v>
      </c>
      <c r="AC44" s="68">
        <v>16.039200000000001</v>
      </c>
      <c r="AD44" s="68">
        <v>16.039200000000001</v>
      </c>
      <c r="AE44" s="68">
        <v>16.039200000000001</v>
      </c>
      <c r="AF44" s="68">
        <v>16.039200000000001</v>
      </c>
      <c r="AG44" s="68">
        <v>16.030285714285714</v>
      </c>
      <c r="AH44" s="68">
        <v>16.030628571428576</v>
      </c>
      <c r="AI44" s="68">
        <v>15.489942857142857</v>
      </c>
      <c r="AJ44" s="68">
        <v>15.727885714285717</v>
      </c>
      <c r="AK44" s="68">
        <v>15.727885714285717</v>
      </c>
      <c r="AL44" s="68">
        <v>15.727885714285717</v>
      </c>
      <c r="AM44" s="68">
        <v>15.5214</v>
      </c>
      <c r="AN44" s="68">
        <v>15.215314285714287</v>
      </c>
      <c r="AO44" s="68">
        <v>15.256114285714288</v>
      </c>
      <c r="AP44" s="68">
        <v>15.256114285714288</v>
      </c>
      <c r="AQ44" s="68">
        <v>15.256114285714288</v>
      </c>
      <c r="AR44" s="68">
        <v>15.125142857142857</v>
      </c>
      <c r="AS44" s="68">
        <v>15.125142857142857</v>
      </c>
      <c r="AT44" s="68">
        <v>15.125142857142857</v>
      </c>
      <c r="AU44" s="68">
        <v>15.125142857142857</v>
      </c>
      <c r="AV44" s="68">
        <v>15.125142857142899</v>
      </c>
      <c r="AW44" s="68">
        <v>15.125142857142899</v>
      </c>
      <c r="AX44" s="68">
        <v>15.003428571428572</v>
      </c>
      <c r="AY44" s="68">
        <v>15.517714285714286</v>
      </c>
      <c r="AZ44" s="68">
        <v>15.517714285714286</v>
      </c>
      <c r="BA44" s="68">
        <v>15.517714285714286</v>
      </c>
      <c r="BB44" s="68">
        <v>15.517714285714286</v>
      </c>
      <c r="BC44" s="68">
        <v>15.517714285714286</v>
      </c>
      <c r="BD44" s="68">
        <v>15.476914285714287</v>
      </c>
      <c r="BE44" s="68">
        <v>15.476914285714287</v>
      </c>
      <c r="BF44" s="68">
        <v>15.476914285714287</v>
      </c>
      <c r="BG44" s="68">
        <v>15.476914285714299</v>
      </c>
      <c r="BH44" s="68">
        <v>15.476914285714299</v>
      </c>
      <c r="BI44" s="68">
        <v>15.476914285714299</v>
      </c>
      <c r="BJ44" s="68">
        <v>16.722857142857141</v>
      </c>
      <c r="BK44" s="68">
        <v>16.722857142857141</v>
      </c>
      <c r="BL44" s="68">
        <v>16.722857142857141</v>
      </c>
      <c r="BM44" s="68">
        <v>16.722857142857141</v>
      </c>
      <c r="BN44" s="68">
        <v>16.722857142857141</v>
      </c>
      <c r="BO44" s="68">
        <v>16.722857142857141</v>
      </c>
      <c r="BP44" s="63">
        <v>16.72</v>
      </c>
      <c r="BQ44" s="63">
        <v>16.72</v>
      </c>
      <c r="BR44" s="63">
        <v>16.72</v>
      </c>
      <c r="BS44" s="63">
        <v>16.72</v>
      </c>
      <c r="BT44" s="63">
        <v>16.72</v>
      </c>
      <c r="BU44" s="63">
        <v>16.28</v>
      </c>
      <c r="BV44" s="63">
        <v>16.739999999999998</v>
      </c>
      <c r="BW44" s="63">
        <v>16.739999999999998</v>
      </c>
      <c r="BX44" s="63">
        <v>16.739999999999998</v>
      </c>
      <c r="BY44" s="63">
        <v>16.739999999999998</v>
      </c>
      <c r="BZ44" s="63">
        <v>16.739999999999998</v>
      </c>
      <c r="CA44" s="63">
        <v>17.46</v>
      </c>
      <c r="CB44" s="63">
        <v>17.46</v>
      </c>
      <c r="CC44" s="63">
        <v>17.46</v>
      </c>
      <c r="CD44" s="63">
        <v>17.46</v>
      </c>
      <c r="CE44" s="63">
        <v>17.46</v>
      </c>
      <c r="CF44" s="63">
        <v>17.350000000000001</v>
      </c>
      <c r="CG44" s="63">
        <v>17.350000000000001</v>
      </c>
      <c r="CH44" s="63">
        <v>17.46</v>
      </c>
      <c r="CI44" s="63">
        <v>16.7</v>
      </c>
    </row>
    <row r="45" spans="1:87" s="62" customFormat="1" x14ac:dyDescent="0.2">
      <c r="A45" s="67" t="s">
        <v>2345</v>
      </c>
      <c r="B45" s="68">
        <v>17.002285714285716</v>
      </c>
      <c r="C45" s="68">
        <v>17.002285714285716</v>
      </c>
      <c r="D45" s="68">
        <v>17.002285714285716</v>
      </c>
      <c r="E45" s="68">
        <v>15.988114285714287</v>
      </c>
      <c r="F45" s="68">
        <v>15.988114285714287</v>
      </c>
      <c r="G45" s="68">
        <v>15.988114285714287</v>
      </c>
      <c r="H45" s="68">
        <v>15.988114285714287</v>
      </c>
      <c r="I45" s="68">
        <v>16.333714285714283</v>
      </c>
      <c r="J45" s="68">
        <v>16.333714285714283</v>
      </c>
      <c r="K45" s="68">
        <v>16.333714285714283</v>
      </c>
      <c r="L45" s="68">
        <v>16.333714285714283</v>
      </c>
      <c r="M45" s="68">
        <v>16.333714285714283</v>
      </c>
      <c r="N45" s="68">
        <v>16.576457142857144</v>
      </c>
      <c r="O45" s="68">
        <v>16.518514285714286</v>
      </c>
      <c r="P45" s="68">
        <v>16.518514285714286</v>
      </c>
      <c r="Q45" s="68">
        <v>16.518514285714286</v>
      </c>
      <c r="R45" s="68">
        <v>16.518514285714286</v>
      </c>
      <c r="S45" s="68">
        <v>16.518514285714286</v>
      </c>
      <c r="T45" s="68">
        <v>16.518514285714286</v>
      </c>
      <c r="U45" s="68">
        <v>16.518514285714286</v>
      </c>
      <c r="V45" s="68">
        <v>16.518514285714286</v>
      </c>
      <c r="W45" s="68">
        <v>16.518514285714286</v>
      </c>
      <c r="X45" s="68">
        <v>15.919885714285716</v>
      </c>
      <c r="Y45" s="68">
        <v>15.919885714285716</v>
      </c>
      <c r="Z45" s="68">
        <v>16.434857142857144</v>
      </c>
      <c r="AA45" s="68">
        <v>16.434857142857144</v>
      </c>
      <c r="AB45" s="68">
        <v>16.434857142857144</v>
      </c>
      <c r="AC45" s="68">
        <v>16.554514285714287</v>
      </c>
      <c r="AD45" s="68">
        <v>16.554514285714287</v>
      </c>
      <c r="AE45" s="68">
        <v>16.554514285714287</v>
      </c>
      <c r="AF45" s="68">
        <v>16.554514285714287</v>
      </c>
      <c r="AG45" s="68">
        <v>16.554514285714287</v>
      </c>
      <c r="AH45" s="68">
        <v>16.554857142857141</v>
      </c>
      <c r="AI45" s="68">
        <v>16.554857142857141</v>
      </c>
      <c r="AJ45" s="68">
        <v>16.554857142857141</v>
      </c>
      <c r="AK45" s="68">
        <v>16.554857142857141</v>
      </c>
      <c r="AL45" s="68">
        <v>16.554857142857141</v>
      </c>
      <c r="AM45" s="68">
        <v>14.692457142857142</v>
      </c>
      <c r="AN45" s="68">
        <v>14.692457142857142</v>
      </c>
      <c r="AO45" s="68">
        <v>14.692457142857142</v>
      </c>
      <c r="AP45" s="68">
        <v>14.692457142857142</v>
      </c>
      <c r="AQ45" s="68">
        <v>14.692457142857142</v>
      </c>
      <c r="AR45" s="68">
        <v>15.068914285714287</v>
      </c>
      <c r="AS45" s="68">
        <v>15.068914285714287</v>
      </c>
      <c r="AT45" s="68">
        <v>15.068914285714287</v>
      </c>
      <c r="AU45" s="68">
        <v>15.068914285714287</v>
      </c>
      <c r="AV45" s="68">
        <v>15.0689142857143</v>
      </c>
      <c r="AW45" s="68">
        <v>15.0689142857143</v>
      </c>
      <c r="AX45" s="68">
        <v>14.731999999999999</v>
      </c>
      <c r="AY45" s="68">
        <v>15.246514285714284</v>
      </c>
      <c r="AZ45" s="68">
        <v>15.246514285714284</v>
      </c>
      <c r="BA45" s="68">
        <v>15.246514285714284</v>
      </c>
      <c r="BB45" s="68">
        <v>15.246514285714284</v>
      </c>
      <c r="BC45" s="68">
        <v>15.246514285714284</v>
      </c>
      <c r="BD45" s="68">
        <v>15.135771428571427</v>
      </c>
      <c r="BE45" s="68">
        <v>15.135771428571427</v>
      </c>
      <c r="BF45" s="68">
        <v>15.135771428571427</v>
      </c>
      <c r="BG45" s="68">
        <v>15.135771428571401</v>
      </c>
      <c r="BH45" s="68">
        <v>15.135771428571401</v>
      </c>
      <c r="BI45" s="68">
        <v>15.135771428571299</v>
      </c>
      <c r="BJ45" s="68">
        <v>16.192571428571426</v>
      </c>
      <c r="BK45" s="68">
        <v>16.192571428571426</v>
      </c>
      <c r="BL45" s="68">
        <v>16.192571428571426</v>
      </c>
      <c r="BM45" s="68">
        <v>16.192571428571426</v>
      </c>
      <c r="BN45" s="68">
        <v>16.192571428571426</v>
      </c>
      <c r="BO45" s="68">
        <v>16.192571428571426</v>
      </c>
      <c r="BP45" s="63">
        <v>16.190000000000001</v>
      </c>
      <c r="BQ45" s="63">
        <v>16.190000000000001</v>
      </c>
      <c r="BR45" s="63">
        <v>16.190000000000001</v>
      </c>
      <c r="BS45" s="63">
        <v>16.190000000000001</v>
      </c>
      <c r="BT45" s="63">
        <v>16.190000000000001</v>
      </c>
      <c r="BU45" s="63">
        <v>15.75</v>
      </c>
      <c r="BV45" s="63">
        <v>16.14</v>
      </c>
      <c r="BW45" s="63">
        <v>16.14</v>
      </c>
      <c r="BX45" s="63">
        <v>16.14</v>
      </c>
      <c r="BY45" s="63">
        <v>16.14</v>
      </c>
      <c r="BZ45" s="63">
        <v>16.14</v>
      </c>
      <c r="CA45" s="63">
        <v>16.86</v>
      </c>
      <c r="CB45" s="63">
        <v>16.86</v>
      </c>
      <c r="CC45" s="63">
        <v>16.86</v>
      </c>
      <c r="CD45" s="63">
        <v>16.86</v>
      </c>
      <c r="CE45" s="63">
        <v>16.86</v>
      </c>
      <c r="CF45" s="63">
        <v>16.86</v>
      </c>
      <c r="CG45" s="63">
        <v>16.940000000000001</v>
      </c>
      <c r="CH45" s="63">
        <v>16.850000000000001</v>
      </c>
      <c r="CI45" s="63">
        <v>16.850000000000001</v>
      </c>
    </row>
    <row r="46" spans="1:87" s="62" customFormat="1" x14ac:dyDescent="0.2">
      <c r="A46" s="67" t="s">
        <v>2346</v>
      </c>
      <c r="B46" s="68">
        <v>15.44</v>
      </c>
      <c r="C46" s="68">
        <v>15.543714285714286</v>
      </c>
      <c r="D46" s="68">
        <v>15.543714285714286</v>
      </c>
      <c r="E46" s="68">
        <v>15.54377142857143</v>
      </c>
      <c r="F46" s="68">
        <v>14.705142857142855</v>
      </c>
      <c r="G46" s="68">
        <v>14.705142857142855</v>
      </c>
      <c r="H46" s="68">
        <v>14.705142857142855</v>
      </c>
      <c r="I46" s="68">
        <v>14.705142857142855</v>
      </c>
      <c r="J46" s="68">
        <v>14.705142857142855</v>
      </c>
      <c r="K46" s="68">
        <v>14.705142857142855</v>
      </c>
      <c r="L46" s="68">
        <v>14.705142857142855</v>
      </c>
      <c r="M46" s="68">
        <v>14.705142857142855</v>
      </c>
      <c r="N46" s="68">
        <v>15.079885714285716</v>
      </c>
      <c r="O46" s="68">
        <v>15.021942857142857</v>
      </c>
      <c r="P46" s="68">
        <v>15.021942857142857</v>
      </c>
      <c r="Q46" s="68">
        <v>15.021942857142857</v>
      </c>
      <c r="R46" s="68">
        <v>15.021942857142857</v>
      </c>
      <c r="S46" s="68">
        <v>15.021942857142857</v>
      </c>
      <c r="T46" s="68">
        <v>15.021942857142857</v>
      </c>
      <c r="U46" s="68">
        <v>15.021942857142857</v>
      </c>
      <c r="V46" s="68">
        <v>15.021942857142857</v>
      </c>
      <c r="W46" s="68">
        <v>15.021942857142857</v>
      </c>
      <c r="X46" s="68">
        <v>14.771314285714285</v>
      </c>
      <c r="Y46" s="68">
        <v>14.771314285714285</v>
      </c>
      <c r="Z46" s="68">
        <v>15.179314285714284</v>
      </c>
      <c r="AA46" s="68">
        <v>15.179314285714284</v>
      </c>
      <c r="AB46" s="68">
        <v>15.179314285714284</v>
      </c>
      <c r="AC46" s="68">
        <v>15.298971428571431</v>
      </c>
      <c r="AD46" s="68">
        <v>15.298971428571431</v>
      </c>
      <c r="AE46" s="68">
        <v>15.298971428571431</v>
      </c>
      <c r="AF46" s="68">
        <v>15.298971428571431</v>
      </c>
      <c r="AG46" s="68">
        <v>15.298971428571431</v>
      </c>
      <c r="AH46" s="68">
        <v>15.299314285714285</v>
      </c>
      <c r="AI46" s="68">
        <v>15.299314285714285</v>
      </c>
      <c r="AJ46" s="68">
        <v>15.299314285714285</v>
      </c>
      <c r="AK46" s="68">
        <v>15.299314285714285</v>
      </c>
      <c r="AL46" s="68">
        <v>15.299314285714285</v>
      </c>
      <c r="AM46" s="68">
        <v>15.299314285714285</v>
      </c>
      <c r="AN46" s="68">
        <v>15.314742857142859</v>
      </c>
      <c r="AO46" s="68">
        <v>15.314742857142859</v>
      </c>
      <c r="AP46" s="68">
        <v>15.314742857142855</v>
      </c>
      <c r="AQ46" s="68">
        <v>14.376571428571401</v>
      </c>
      <c r="AR46" s="68">
        <v>14.753142857142857</v>
      </c>
      <c r="AS46" s="68">
        <v>14.753142857142857</v>
      </c>
      <c r="AT46" s="68">
        <v>14.753142857142857</v>
      </c>
      <c r="AU46" s="68">
        <v>14.753142857142857</v>
      </c>
      <c r="AV46" s="68">
        <v>14.753142857142899</v>
      </c>
      <c r="AW46" s="68">
        <v>14.753142857142899</v>
      </c>
      <c r="AX46" s="68">
        <v>14.407999999999999</v>
      </c>
      <c r="AY46" s="68">
        <v>15.016114285714288</v>
      </c>
      <c r="AZ46" s="68">
        <v>15.016114285714288</v>
      </c>
      <c r="BA46" s="68">
        <v>15.016114285714288</v>
      </c>
      <c r="BB46" s="68">
        <v>15.016114285714288</v>
      </c>
      <c r="BC46" s="68">
        <v>15.016114285714288</v>
      </c>
      <c r="BD46" s="68">
        <v>14.996571428571432</v>
      </c>
      <c r="BE46" s="68">
        <v>14.996571428571432</v>
      </c>
      <c r="BF46" s="68">
        <v>14.996571428571432</v>
      </c>
      <c r="BG46" s="68">
        <v>14.9965714285714</v>
      </c>
      <c r="BH46" s="68">
        <v>14.9965714285714</v>
      </c>
      <c r="BI46" s="68">
        <v>14.996571428571301</v>
      </c>
      <c r="BJ46" s="68">
        <v>16.126000000000001</v>
      </c>
      <c r="BK46" s="68">
        <v>16.126000000000001</v>
      </c>
      <c r="BL46" s="68">
        <v>16.126000000000001</v>
      </c>
      <c r="BM46" s="68">
        <v>16.126000000000001</v>
      </c>
      <c r="BN46" s="68">
        <v>16.126000000000001</v>
      </c>
      <c r="BO46" s="68">
        <v>16.126000000000001</v>
      </c>
      <c r="BP46" s="63">
        <v>16.13</v>
      </c>
      <c r="BQ46" s="63">
        <v>16.13</v>
      </c>
      <c r="BR46" s="63">
        <v>16.13</v>
      </c>
      <c r="BS46" s="63">
        <v>16.13</v>
      </c>
      <c r="BT46" s="63">
        <v>16.13</v>
      </c>
      <c r="BU46" s="63">
        <v>15.68</v>
      </c>
      <c r="BV46" s="63">
        <v>15.92</v>
      </c>
      <c r="BW46" s="63">
        <v>15.92</v>
      </c>
      <c r="BX46" s="63">
        <v>15.92</v>
      </c>
      <c r="BY46" s="63">
        <v>15.92</v>
      </c>
      <c r="BZ46" s="63">
        <v>15.92</v>
      </c>
      <c r="CA46" s="63">
        <v>16.64</v>
      </c>
      <c r="CB46" s="63">
        <v>16.64</v>
      </c>
      <c r="CC46" s="63">
        <v>16.64</v>
      </c>
      <c r="CD46" s="63">
        <v>16.64</v>
      </c>
      <c r="CE46" s="63">
        <v>16.64</v>
      </c>
      <c r="CF46" s="63">
        <v>16.54</v>
      </c>
      <c r="CG46" s="63">
        <v>16.54</v>
      </c>
      <c r="CH46" s="63">
        <v>16.29</v>
      </c>
      <c r="CI46" s="63">
        <v>15.51</v>
      </c>
    </row>
    <row r="47" spans="1:87" s="62" customFormat="1" x14ac:dyDescent="0.2">
      <c r="A47" s="67" t="s">
        <v>2347</v>
      </c>
      <c r="B47" s="68">
        <v>12.881428571428572</v>
      </c>
      <c r="C47" s="68">
        <v>12.881428571428572</v>
      </c>
      <c r="D47" s="68">
        <v>12.881714285714287</v>
      </c>
      <c r="E47" s="68">
        <v>12.881828571428573</v>
      </c>
      <c r="F47" s="68">
        <v>12.881828571428573</v>
      </c>
      <c r="G47" s="68">
        <v>12.881828571428573</v>
      </c>
      <c r="H47" s="68">
        <v>12.768000000000001</v>
      </c>
      <c r="I47" s="68">
        <v>12.768000000000001</v>
      </c>
      <c r="J47" s="68">
        <v>12.804342857142855</v>
      </c>
      <c r="K47" s="68">
        <v>12.804342857142855</v>
      </c>
      <c r="L47" s="68">
        <v>12.804342857142855</v>
      </c>
      <c r="M47" s="68">
        <v>12.804342857142855</v>
      </c>
      <c r="N47" s="68">
        <v>13.214057142857142</v>
      </c>
      <c r="O47" s="68">
        <v>13.104685714285713</v>
      </c>
      <c r="P47" s="68">
        <v>13.104685714285713</v>
      </c>
      <c r="Q47" s="68">
        <v>13.104685714285713</v>
      </c>
      <c r="R47" s="68">
        <v>13.104685714285713</v>
      </c>
      <c r="S47" s="68">
        <v>13.104685714285713</v>
      </c>
      <c r="T47" s="68">
        <v>13.104685714285713</v>
      </c>
      <c r="U47" s="68">
        <v>13.104685714285713</v>
      </c>
      <c r="V47" s="68">
        <v>13.104685714285713</v>
      </c>
      <c r="W47" s="68">
        <v>13.104685714285713</v>
      </c>
      <c r="X47" s="68">
        <v>13.120114285714285</v>
      </c>
      <c r="Y47" s="68">
        <v>13.120114285714285</v>
      </c>
      <c r="Z47" s="68">
        <v>13.74</v>
      </c>
      <c r="AA47" s="68">
        <v>13.74</v>
      </c>
      <c r="AB47" s="68">
        <v>13.74</v>
      </c>
      <c r="AC47" s="68">
        <v>13.859657142857142</v>
      </c>
      <c r="AD47" s="68">
        <v>13.859657142857142</v>
      </c>
      <c r="AE47" s="68">
        <v>13.859657142857142</v>
      </c>
      <c r="AF47" s="68">
        <v>13.859657142857142</v>
      </c>
      <c r="AG47" s="68">
        <v>13.859657142857142</v>
      </c>
      <c r="AH47" s="68">
        <v>13.86</v>
      </c>
      <c r="AI47" s="68">
        <v>13.86</v>
      </c>
      <c r="AJ47" s="68">
        <v>13.86</v>
      </c>
      <c r="AK47" s="68">
        <v>13.86</v>
      </c>
      <c r="AL47" s="68">
        <v>13.86</v>
      </c>
      <c r="AM47" s="68">
        <v>13.86</v>
      </c>
      <c r="AN47" s="68">
        <v>13.875428571428571</v>
      </c>
      <c r="AO47" s="68">
        <v>13.394400000000001</v>
      </c>
      <c r="AP47" s="68">
        <v>13.394400000000001</v>
      </c>
      <c r="AQ47" s="68">
        <v>13.394400000000001</v>
      </c>
      <c r="AR47" s="68">
        <v>13.469828571428572</v>
      </c>
      <c r="AS47" s="68">
        <v>13.469828571428572</v>
      </c>
      <c r="AT47" s="68">
        <v>13.469828571428572</v>
      </c>
      <c r="AU47" s="68">
        <v>13.469828571428572</v>
      </c>
      <c r="AV47" s="68">
        <v>13.4698285714286</v>
      </c>
      <c r="AW47" s="68">
        <v>13.4698285714286</v>
      </c>
      <c r="AX47" s="68">
        <v>14.196</v>
      </c>
      <c r="AY47" s="68">
        <v>14.710285714285714</v>
      </c>
      <c r="AZ47" s="68">
        <v>14.710285714285714</v>
      </c>
      <c r="BA47" s="68">
        <v>14.710285714285714</v>
      </c>
      <c r="BB47" s="68">
        <v>14.710285714285714</v>
      </c>
      <c r="BC47" s="68">
        <v>14.710285714285714</v>
      </c>
      <c r="BD47" s="68">
        <v>14.684228571428575</v>
      </c>
      <c r="BE47" s="68">
        <v>14.684228571428575</v>
      </c>
      <c r="BF47" s="68">
        <v>14.684228571428575</v>
      </c>
      <c r="BG47" s="68">
        <v>14.6842285714286</v>
      </c>
      <c r="BH47" s="68">
        <v>14.6842285714286</v>
      </c>
      <c r="BI47" s="68">
        <v>14.6842285714286</v>
      </c>
      <c r="BJ47" s="68">
        <v>16.033714285714286</v>
      </c>
      <c r="BK47" s="68">
        <v>16.033714285714286</v>
      </c>
      <c r="BL47" s="68">
        <v>16.033714285714286</v>
      </c>
      <c r="BM47" s="68">
        <v>16.033714285714286</v>
      </c>
      <c r="BN47" s="68">
        <v>16.033714285714286</v>
      </c>
      <c r="BO47" s="68">
        <v>16.033714285714286</v>
      </c>
      <c r="BP47" s="63">
        <v>16.03</v>
      </c>
      <c r="BQ47" s="63">
        <v>16.03</v>
      </c>
      <c r="BR47" s="63">
        <v>16.03</v>
      </c>
      <c r="BS47" s="63">
        <v>16.03</v>
      </c>
      <c r="BT47" s="63">
        <v>16.03</v>
      </c>
      <c r="BU47" s="63">
        <v>15.59</v>
      </c>
      <c r="BV47" s="63">
        <v>16.02</v>
      </c>
      <c r="BW47" s="63">
        <v>16.02</v>
      </c>
      <c r="BX47" s="63">
        <v>16.02</v>
      </c>
      <c r="BY47" s="63">
        <v>16.02</v>
      </c>
      <c r="BZ47" s="63">
        <v>16.02</v>
      </c>
      <c r="CA47" s="63">
        <v>16.739999999999998</v>
      </c>
      <c r="CB47" s="63">
        <v>16.739999999999998</v>
      </c>
      <c r="CC47" s="63">
        <v>16.739999999999998</v>
      </c>
      <c r="CD47" s="63">
        <v>16.739999999999998</v>
      </c>
      <c r="CE47" s="63">
        <v>16.739999999999998</v>
      </c>
      <c r="CF47" s="63">
        <v>16.64</v>
      </c>
      <c r="CG47" s="63">
        <v>16.64</v>
      </c>
      <c r="CH47" s="63">
        <v>16.71</v>
      </c>
      <c r="CI47" s="63">
        <v>15.92</v>
      </c>
    </row>
    <row r="48" spans="1:87" s="62" customFormat="1" x14ac:dyDescent="0.2">
      <c r="A48" s="67" t="s">
        <v>2348</v>
      </c>
      <c r="B48" s="68">
        <v>14.325428571428571</v>
      </c>
      <c r="C48" s="68">
        <v>14.325428571428571</v>
      </c>
      <c r="D48" s="68">
        <v>14.325714285714286</v>
      </c>
      <c r="E48" s="68">
        <v>14.3256</v>
      </c>
      <c r="F48" s="68">
        <v>14.3256</v>
      </c>
      <c r="G48" s="68">
        <v>13.985828571428572</v>
      </c>
      <c r="H48" s="68">
        <v>13.985828571428572</v>
      </c>
      <c r="I48" s="68">
        <v>13.985828571428572</v>
      </c>
      <c r="J48" s="68">
        <v>14.069828571428571</v>
      </c>
      <c r="K48" s="68">
        <v>14.069828571428571</v>
      </c>
      <c r="L48" s="68">
        <v>14.069828571428571</v>
      </c>
      <c r="M48" s="68">
        <v>14.069828571428571</v>
      </c>
      <c r="N48" s="68">
        <v>14.516571428571428</v>
      </c>
      <c r="O48" s="68">
        <v>14.458628571428571</v>
      </c>
      <c r="P48" s="68">
        <v>14.458628571428571</v>
      </c>
      <c r="Q48" s="68">
        <v>14.458628571428571</v>
      </c>
      <c r="R48" s="68">
        <v>14.458628571428571</v>
      </c>
      <c r="S48" s="68">
        <v>14.458628571428571</v>
      </c>
      <c r="T48" s="68">
        <v>14.458628571428571</v>
      </c>
      <c r="U48" s="68">
        <v>14.458628571428571</v>
      </c>
      <c r="V48" s="68">
        <v>14.458628571428571</v>
      </c>
      <c r="W48" s="68">
        <v>14.458628571428571</v>
      </c>
      <c r="X48" s="68">
        <v>14.042057142857146</v>
      </c>
      <c r="Y48" s="68">
        <v>14.042057142857146</v>
      </c>
      <c r="Z48" s="68">
        <v>14.36777142857143</v>
      </c>
      <c r="AA48" s="68">
        <v>14.36777142857143</v>
      </c>
      <c r="AB48" s="68">
        <v>14.36777142857143</v>
      </c>
      <c r="AC48" s="68">
        <v>14.487428571428572</v>
      </c>
      <c r="AD48" s="68">
        <v>14.487428571428572</v>
      </c>
      <c r="AE48" s="68">
        <v>14.487428571428572</v>
      </c>
      <c r="AF48" s="68">
        <v>14.487428571428572</v>
      </c>
      <c r="AG48" s="68">
        <v>14.487428571428572</v>
      </c>
      <c r="AH48" s="68">
        <v>14.487771428571429</v>
      </c>
      <c r="AI48" s="68">
        <v>14.487771428571429</v>
      </c>
      <c r="AJ48" s="68">
        <v>14.487771428571429</v>
      </c>
      <c r="AK48" s="68">
        <v>14.487771428571429</v>
      </c>
      <c r="AL48" s="68">
        <v>14.487771428571429</v>
      </c>
      <c r="AM48" s="68">
        <v>14.487771428571429</v>
      </c>
      <c r="AN48" s="68">
        <v>14.5032</v>
      </c>
      <c r="AO48" s="68">
        <v>13.947771428571428</v>
      </c>
      <c r="AP48" s="68">
        <v>13.947771428571428</v>
      </c>
      <c r="AQ48" s="68">
        <v>13.947771428571428</v>
      </c>
      <c r="AR48" s="68">
        <v>14.32422857142857</v>
      </c>
      <c r="AS48" s="68">
        <v>14.32422857142857</v>
      </c>
      <c r="AT48" s="68">
        <v>14.32422857142857</v>
      </c>
      <c r="AU48" s="68">
        <v>14.32422857142857</v>
      </c>
      <c r="AV48" s="68">
        <v>14.3242285714286</v>
      </c>
      <c r="AW48" s="68">
        <v>14.3242285714286</v>
      </c>
      <c r="AX48" s="68">
        <v>14.154857142857143</v>
      </c>
      <c r="AY48" s="68">
        <v>14.790514285714286</v>
      </c>
      <c r="AZ48" s="68">
        <v>14.790514285714286</v>
      </c>
      <c r="BA48" s="68">
        <v>14.790514285714286</v>
      </c>
      <c r="BB48" s="68">
        <v>14.790514285714286</v>
      </c>
      <c r="BC48" s="68">
        <v>14.790514285714286</v>
      </c>
      <c r="BD48" s="68">
        <v>14.73942857142857</v>
      </c>
      <c r="BE48" s="68">
        <v>14.73942857142857</v>
      </c>
      <c r="BF48" s="68">
        <v>14.73942857142857</v>
      </c>
      <c r="BG48" s="68">
        <v>14.739428571428601</v>
      </c>
      <c r="BH48" s="68">
        <v>14.739428571428601</v>
      </c>
      <c r="BI48" s="68">
        <v>14.7394285714287</v>
      </c>
      <c r="BJ48" s="68">
        <v>15.859142857142858</v>
      </c>
      <c r="BK48" s="68">
        <v>15.859142857142858</v>
      </c>
      <c r="BL48" s="68">
        <v>15.859142857142858</v>
      </c>
      <c r="BM48" s="68">
        <v>15.859142857142858</v>
      </c>
      <c r="BN48" s="68">
        <v>15.859142857142858</v>
      </c>
      <c r="BO48" s="68">
        <v>15.859142857142858</v>
      </c>
      <c r="BP48" s="63">
        <v>15.86</v>
      </c>
      <c r="BQ48" s="63">
        <v>15.86</v>
      </c>
      <c r="BR48" s="63">
        <v>15.86</v>
      </c>
      <c r="BS48" s="63">
        <v>15.86</v>
      </c>
      <c r="BT48" s="63">
        <v>15.86</v>
      </c>
      <c r="BU48" s="63">
        <v>15.41</v>
      </c>
      <c r="BV48" s="63">
        <v>15.8</v>
      </c>
      <c r="BW48" s="63">
        <v>15.8</v>
      </c>
      <c r="BX48" s="63">
        <v>15.8</v>
      </c>
      <c r="BY48" s="63">
        <v>15.8</v>
      </c>
      <c r="BZ48" s="63">
        <v>15.8</v>
      </c>
      <c r="CA48" s="63">
        <v>16.52</v>
      </c>
      <c r="CB48" s="63">
        <v>16.52</v>
      </c>
      <c r="CC48" s="63">
        <v>16.52</v>
      </c>
      <c r="CD48" s="63">
        <v>16.52</v>
      </c>
      <c r="CE48" s="63">
        <v>16.52</v>
      </c>
      <c r="CF48" s="63">
        <v>16.600000000000001</v>
      </c>
      <c r="CG48" s="63">
        <v>16.690000000000001</v>
      </c>
      <c r="CH48" s="63">
        <v>16.75</v>
      </c>
      <c r="CI48" s="63">
        <v>16.75</v>
      </c>
    </row>
    <row r="49" spans="1:87" s="62" customFormat="1" x14ac:dyDescent="0.2">
      <c r="A49" s="67" t="s">
        <v>2349</v>
      </c>
      <c r="B49" s="68">
        <v>14.756571428571428</v>
      </c>
      <c r="C49" s="68">
        <v>14.756571428571428</v>
      </c>
      <c r="D49" s="68">
        <v>14.756571428571428</v>
      </c>
      <c r="E49" s="68">
        <v>14.091085714285715</v>
      </c>
      <c r="F49" s="68">
        <v>14.091085714285715</v>
      </c>
      <c r="G49" s="68">
        <v>14.091085714285715</v>
      </c>
      <c r="H49" s="68">
        <v>14.091085714285715</v>
      </c>
      <c r="I49" s="68">
        <v>14.091085714285715</v>
      </c>
      <c r="J49" s="68">
        <v>14.090742857142859</v>
      </c>
      <c r="K49" s="68">
        <v>14.090742857142859</v>
      </c>
      <c r="L49" s="68">
        <v>14.090742857142859</v>
      </c>
      <c r="M49" s="68">
        <v>14.090742857142859</v>
      </c>
      <c r="N49" s="68">
        <v>13.763657142857145</v>
      </c>
      <c r="O49" s="68">
        <v>13.705714285714285</v>
      </c>
      <c r="P49" s="68">
        <v>13.705714285714285</v>
      </c>
      <c r="Q49" s="68">
        <v>13.705714285714285</v>
      </c>
      <c r="R49" s="68">
        <v>13.705714285714285</v>
      </c>
      <c r="S49" s="68">
        <v>13.705714285714285</v>
      </c>
      <c r="T49" s="68">
        <v>13.705714285714285</v>
      </c>
      <c r="U49" s="68">
        <v>13.705714285714285</v>
      </c>
      <c r="V49" s="68">
        <v>13.705714285714285</v>
      </c>
      <c r="W49" s="68">
        <v>13.705714285714285</v>
      </c>
      <c r="X49" s="68">
        <v>13.377600000000001</v>
      </c>
      <c r="Y49" s="68">
        <v>13.377600000000001</v>
      </c>
      <c r="Z49" s="68">
        <v>13.703314285714288</v>
      </c>
      <c r="AA49" s="68">
        <v>13.703314285714288</v>
      </c>
      <c r="AB49" s="68">
        <v>13.703314285714288</v>
      </c>
      <c r="AC49" s="68">
        <v>13.822971428571432</v>
      </c>
      <c r="AD49" s="68">
        <v>13.822971428571432</v>
      </c>
      <c r="AE49" s="68">
        <v>13.822971428571432</v>
      </c>
      <c r="AF49" s="68">
        <v>13.822971428571432</v>
      </c>
      <c r="AG49" s="68">
        <v>13.822971428571432</v>
      </c>
      <c r="AH49" s="68">
        <v>13.823314285714286</v>
      </c>
      <c r="AI49" s="68">
        <v>13.823314285714286</v>
      </c>
      <c r="AJ49" s="68">
        <v>13.823314285714286</v>
      </c>
      <c r="AK49" s="68">
        <v>13.823314285714286</v>
      </c>
      <c r="AL49" s="68">
        <v>13.823314285714286</v>
      </c>
      <c r="AM49" s="68">
        <v>13.823314285714286</v>
      </c>
      <c r="AN49" s="68">
        <v>13.838742857142856</v>
      </c>
      <c r="AO49" s="68">
        <v>13.337485714285714</v>
      </c>
      <c r="AP49" s="68">
        <v>13.337485714285714</v>
      </c>
      <c r="AQ49" s="68">
        <v>13.337485714285714</v>
      </c>
      <c r="AR49" s="68">
        <v>13.713942857142856</v>
      </c>
      <c r="AS49" s="68">
        <v>13.713942857142856</v>
      </c>
      <c r="AT49" s="68">
        <v>13.713942857142856</v>
      </c>
      <c r="AU49" s="68">
        <v>13.713942857142856</v>
      </c>
      <c r="AV49" s="68">
        <v>13.7139428571429</v>
      </c>
      <c r="AW49" s="68">
        <v>13.7139428571429</v>
      </c>
      <c r="AX49" s="68">
        <v>13.675714285714285</v>
      </c>
      <c r="AY49" s="68">
        <v>14.189828571428572</v>
      </c>
      <c r="AZ49" s="68">
        <v>14.189828571428572</v>
      </c>
      <c r="BA49" s="68">
        <v>14.189828571428572</v>
      </c>
      <c r="BB49" s="68">
        <v>14.189828571428572</v>
      </c>
      <c r="BC49" s="68">
        <v>14.189828571428572</v>
      </c>
      <c r="BD49" s="68">
        <v>14.12777142857143</v>
      </c>
      <c r="BE49" s="68">
        <v>14.12777142857143</v>
      </c>
      <c r="BF49" s="68">
        <v>14.12777142857143</v>
      </c>
      <c r="BG49" s="68">
        <v>14.1277714285714</v>
      </c>
      <c r="BH49" s="68">
        <v>14.1277714285714</v>
      </c>
      <c r="BI49" s="68">
        <v>14.1277714285713</v>
      </c>
      <c r="BJ49" s="68">
        <v>15.321142857142858</v>
      </c>
      <c r="BK49" s="68">
        <v>15.321142857142858</v>
      </c>
      <c r="BL49" s="68">
        <v>15.321142857142858</v>
      </c>
      <c r="BM49" s="68">
        <v>15.321142857142858</v>
      </c>
      <c r="BN49" s="68">
        <v>15.321142857142858</v>
      </c>
      <c r="BO49" s="68">
        <v>15.321142857142858</v>
      </c>
      <c r="BP49" s="63">
        <v>15.32</v>
      </c>
      <c r="BQ49" s="63">
        <v>15.32</v>
      </c>
      <c r="BR49" s="63">
        <v>15.32</v>
      </c>
      <c r="BS49" s="63">
        <v>15.32</v>
      </c>
      <c r="BT49" s="63">
        <v>15.32</v>
      </c>
      <c r="BU49" s="63">
        <v>14.89</v>
      </c>
      <c r="BV49" s="63">
        <v>15.5</v>
      </c>
      <c r="BW49" s="63">
        <v>15.5</v>
      </c>
      <c r="BX49" s="63">
        <v>15.5</v>
      </c>
      <c r="BY49" s="63">
        <v>15.5</v>
      </c>
      <c r="BZ49" s="63">
        <v>15.5</v>
      </c>
      <c r="CA49" s="63">
        <v>16.22</v>
      </c>
      <c r="CB49" s="63">
        <v>16.22</v>
      </c>
      <c r="CC49" s="63">
        <v>16.22</v>
      </c>
      <c r="CD49" s="63">
        <v>16.22</v>
      </c>
      <c r="CE49" s="63">
        <v>16.22</v>
      </c>
      <c r="CF49" s="63">
        <v>16.3</v>
      </c>
      <c r="CG49" s="63">
        <v>16.3</v>
      </c>
      <c r="CH49" s="63">
        <v>16.399999999999999</v>
      </c>
      <c r="CI49" s="63">
        <v>16.579999999999998</v>
      </c>
    </row>
    <row r="50" spans="1:87" s="62" customFormat="1" x14ac:dyDescent="0.2">
      <c r="A50" s="67" t="s">
        <v>2350</v>
      </c>
      <c r="B50" s="68">
        <v>14.264857142857142</v>
      </c>
      <c r="C50" s="68">
        <v>14.264857142857142</v>
      </c>
      <c r="D50" s="68">
        <v>14.264857142857142</v>
      </c>
      <c r="E50" s="68">
        <v>14.265257142857143</v>
      </c>
      <c r="F50" s="68">
        <v>14.265257142857143</v>
      </c>
      <c r="G50" s="68">
        <v>14.265257142857143</v>
      </c>
      <c r="H50" s="68">
        <v>14.265257142857143</v>
      </c>
      <c r="I50" s="68">
        <v>14.265257142857143</v>
      </c>
      <c r="J50" s="68">
        <v>14.265257142857143</v>
      </c>
      <c r="K50" s="68">
        <v>14.436685714285714</v>
      </c>
      <c r="L50" s="68">
        <v>14.436685714285714</v>
      </c>
      <c r="M50" s="68">
        <v>14.436685714285714</v>
      </c>
      <c r="N50" s="68">
        <v>14.596457142857142</v>
      </c>
      <c r="O50" s="68">
        <v>14.538514285714285</v>
      </c>
      <c r="P50" s="68">
        <v>14.538514285714285</v>
      </c>
      <c r="Q50" s="68">
        <v>14.538514285714285</v>
      </c>
      <c r="R50" s="68">
        <v>14.538514285714285</v>
      </c>
      <c r="S50" s="68">
        <v>14.538514285714285</v>
      </c>
      <c r="T50" s="68">
        <v>14.538514285714285</v>
      </c>
      <c r="U50" s="68">
        <v>14.538514285714285</v>
      </c>
      <c r="V50" s="68">
        <v>14.538514285714285</v>
      </c>
      <c r="W50" s="68">
        <v>14.538514285714285</v>
      </c>
      <c r="X50" s="68">
        <v>14.538514285714285</v>
      </c>
      <c r="Y50" s="68">
        <v>14.538514285714285</v>
      </c>
      <c r="Z50" s="68">
        <v>14.113714285714286</v>
      </c>
      <c r="AA50" s="68">
        <v>14.113714285714286</v>
      </c>
      <c r="AB50" s="68">
        <v>14.113714285714286</v>
      </c>
      <c r="AC50" s="68">
        <v>14.233371428571429</v>
      </c>
      <c r="AD50" s="68">
        <v>14.233371428571429</v>
      </c>
      <c r="AE50" s="68">
        <v>14.233371428571429</v>
      </c>
      <c r="AF50" s="68">
        <v>14.233371428571429</v>
      </c>
      <c r="AG50" s="68">
        <v>14.233371428571429</v>
      </c>
      <c r="AH50" s="68">
        <v>14.233714285714285</v>
      </c>
      <c r="AI50" s="68">
        <v>14.233714285714285</v>
      </c>
      <c r="AJ50" s="68">
        <v>14.233714285714285</v>
      </c>
      <c r="AK50" s="68">
        <v>14.233714285714285</v>
      </c>
      <c r="AL50" s="68">
        <v>14.233714285714285</v>
      </c>
      <c r="AM50" s="68">
        <v>14.233714285714285</v>
      </c>
      <c r="AN50" s="68">
        <v>14.249142857142857</v>
      </c>
      <c r="AO50" s="68">
        <v>14.249142857142857</v>
      </c>
      <c r="AP50" s="68">
        <v>14.249142857142857</v>
      </c>
      <c r="AQ50" s="68">
        <v>13.3762857142857</v>
      </c>
      <c r="AR50" s="68">
        <v>13.752685714285715</v>
      </c>
      <c r="AS50" s="68">
        <v>13.752685714285715</v>
      </c>
      <c r="AT50" s="68">
        <v>13.752685714285715</v>
      </c>
      <c r="AU50" s="68">
        <v>13.752685714285715</v>
      </c>
      <c r="AV50" s="68">
        <v>13.7526857142857</v>
      </c>
      <c r="AW50" s="68">
        <v>13.7526857142857</v>
      </c>
      <c r="AX50" s="68">
        <v>13.483428571428572</v>
      </c>
      <c r="AY50" s="68">
        <v>13.99782857142857</v>
      </c>
      <c r="AZ50" s="68">
        <v>13.99782857142857</v>
      </c>
      <c r="BA50" s="68">
        <v>13.99782857142857</v>
      </c>
      <c r="BB50" s="68">
        <v>13.99782857142857</v>
      </c>
      <c r="BC50" s="68">
        <v>13.99782857142857</v>
      </c>
      <c r="BD50" s="68">
        <v>13.961828571428571</v>
      </c>
      <c r="BE50" s="68">
        <v>13.961828571428571</v>
      </c>
      <c r="BF50" s="68">
        <v>13.961828571428571</v>
      </c>
      <c r="BG50" s="68">
        <v>13.961828571428599</v>
      </c>
      <c r="BH50" s="68">
        <v>13.961828571428599</v>
      </c>
      <c r="BI50" s="68">
        <v>13.9618285714287</v>
      </c>
      <c r="BJ50" s="68">
        <v>15.061428571428571</v>
      </c>
      <c r="BK50" s="68">
        <v>15.061428571428571</v>
      </c>
      <c r="BL50" s="68">
        <v>15.061428571428571</v>
      </c>
      <c r="BM50" s="68">
        <v>15.061428571428571</v>
      </c>
      <c r="BN50" s="68">
        <v>15.061428571428571</v>
      </c>
      <c r="BO50" s="68">
        <v>15.061428571428571</v>
      </c>
      <c r="BP50" s="63">
        <v>15.06</v>
      </c>
      <c r="BQ50" s="63">
        <v>15.06</v>
      </c>
      <c r="BR50" s="63">
        <v>15.06</v>
      </c>
      <c r="BS50" s="63">
        <v>15.06</v>
      </c>
      <c r="BT50" s="63">
        <v>15.06</v>
      </c>
      <c r="BU50" s="63">
        <v>14.62</v>
      </c>
      <c r="BV50" s="63">
        <v>14.93</v>
      </c>
      <c r="BW50" s="63">
        <v>14.93</v>
      </c>
      <c r="BX50" s="63">
        <v>14.93</v>
      </c>
      <c r="BY50" s="63">
        <v>14.93</v>
      </c>
      <c r="BZ50" s="63">
        <v>14.93</v>
      </c>
      <c r="CA50" s="63">
        <v>15.65</v>
      </c>
      <c r="CB50" s="63">
        <v>15.65</v>
      </c>
      <c r="CC50" s="63">
        <v>15.65</v>
      </c>
      <c r="CD50" s="63">
        <v>15.65</v>
      </c>
      <c r="CE50" s="63">
        <v>15.65</v>
      </c>
      <c r="CF50" s="63">
        <v>15.55</v>
      </c>
      <c r="CG50" s="63">
        <v>15.55</v>
      </c>
      <c r="CH50" s="63">
        <v>15.49</v>
      </c>
      <c r="CI50" s="63">
        <v>14.83</v>
      </c>
    </row>
    <row r="51" spans="1:87" s="62" customFormat="1" x14ac:dyDescent="0.2">
      <c r="A51" s="67" t="s">
        <v>2351</v>
      </c>
      <c r="B51" s="68">
        <v>12.683714285714286</v>
      </c>
      <c r="C51" s="68">
        <v>12.683714285714286</v>
      </c>
      <c r="D51" s="68">
        <v>12.683714285714286</v>
      </c>
      <c r="E51" s="68">
        <v>12.683657142857143</v>
      </c>
      <c r="F51" s="68">
        <v>12.683657142857143</v>
      </c>
      <c r="G51" s="68">
        <v>12.683657142857143</v>
      </c>
      <c r="H51" s="68">
        <v>12.683657142857143</v>
      </c>
      <c r="I51" s="68">
        <v>12.683657142857143</v>
      </c>
      <c r="J51" s="68">
        <v>12.683657142857143</v>
      </c>
      <c r="K51" s="68">
        <v>12.57737142857143</v>
      </c>
      <c r="L51" s="68">
        <v>12.57737142857143</v>
      </c>
      <c r="M51" s="68">
        <v>12.57737142857143</v>
      </c>
      <c r="N51" s="68">
        <v>13.132114285714286</v>
      </c>
      <c r="O51" s="68">
        <v>13.074171428571429</v>
      </c>
      <c r="P51" s="68">
        <v>13.074171428571429</v>
      </c>
      <c r="Q51" s="68">
        <v>13.074171428571429</v>
      </c>
      <c r="R51" s="68">
        <v>13.074171428571429</v>
      </c>
      <c r="S51" s="68">
        <v>13.074171428571429</v>
      </c>
      <c r="T51" s="68">
        <v>13.074171428571429</v>
      </c>
      <c r="U51" s="68">
        <v>13.074171428571429</v>
      </c>
      <c r="V51" s="68">
        <v>13.074171428571429</v>
      </c>
      <c r="W51" s="68">
        <v>13.074171428571429</v>
      </c>
      <c r="X51" s="68">
        <v>12.457714285714285</v>
      </c>
      <c r="Y51" s="68">
        <v>12.457714285714285</v>
      </c>
      <c r="Z51" s="68">
        <v>13.770857142857144</v>
      </c>
      <c r="AA51" s="68">
        <v>13.770857142857144</v>
      </c>
      <c r="AB51" s="68">
        <v>13.770857142857144</v>
      </c>
      <c r="AC51" s="68">
        <v>13.890514285714286</v>
      </c>
      <c r="AD51" s="68">
        <v>13.890514285714286</v>
      </c>
      <c r="AE51" s="68">
        <v>13.890514285714286</v>
      </c>
      <c r="AF51" s="68">
        <v>13.890514285714286</v>
      </c>
      <c r="AG51" s="68">
        <v>13.890514285714286</v>
      </c>
      <c r="AH51" s="68">
        <v>13.890857142857143</v>
      </c>
      <c r="AI51" s="68">
        <v>13.890857142857143</v>
      </c>
      <c r="AJ51" s="68">
        <v>13.890857142857143</v>
      </c>
      <c r="AK51" s="68">
        <v>13.823657142857144</v>
      </c>
      <c r="AL51" s="68">
        <v>13.823657142857144</v>
      </c>
      <c r="AM51" s="68">
        <v>13.823657142857144</v>
      </c>
      <c r="AN51" s="68">
        <v>13.906285714285715</v>
      </c>
      <c r="AO51" s="68">
        <v>13.521942857142855</v>
      </c>
      <c r="AP51" s="68">
        <v>13.521942857142855</v>
      </c>
      <c r="AQ51" s="68">
        <v>13.521942857142855</v>
      </c>
      <c r="AR51" s="68">
        <v>13.898399999999999</v>
      </c>
      <c r="AS51" s="68">
        <v>13.898399999999999</v>
      </c>
      <c r="AT51" s="68">
        <v>13.898399999999999</v>
      </c>
      <c r="AU51" s="68">
        <v>13.898399999999999</v>
      </c>
      <c r="AV51" s="68">
        <v>13.898400000000001</v>
      </c>
      <c r="AW51" s="68">
        <v>13.898400000000001</v>
      </c>
      <c r="AX51" s="68">
        <v>13.467428571428572</v>
      </c>
      <c r="AY51" s="68">
        <v>13.981714285714286</v>
      </c>
      <c r="AZ51" s="68">
        <v>13.981714285714286</v>
      </c>
      <c r="BA51" s="68">
        <v>13.981714285714286</v>
      </c>
      <c r="BB51" s="68">
        <v>13.981714285714286</v>
      </c>
      <c r="BC51" s="68">
        <v>13.981714285714286</v>
      </c>
      <c r="BD51" s="68">
        <v>13.497942857142856</v>
      </c>
      <c r="BE51" s="68">
        <v>13.497942857142856</v>
      </c>
      <c r="BF51" s="68">
        <v>13.497942857142856</v>
      </c>
      <c r="BG51" s="68">
        <v>13.497942857142901</v>
      </c>
      <c r="BH51" s="68">
        <v>13.497942857142901</v>
      </c>
      <c r="BI51" s="68">
        <v>13.497942857143</v>
      </c>
      <c r="BJ51" s="68">
        <v>15.276</v>
      </c>
      <c r="BK51" s="68">
        <v>15.276</v>
      </c>
      <c r="BL51" s="68">
        <v>15.276</v>
      </c>
      <c r="BM51" s="68">
        <v>15.276</v>
      </c>
      <c r="BN51" s="68">
        <v>15.276</v>
      </c>
      <c r="BO51" s="68">
        <v>15.276</v>
      </c>
      <c r="BP51" s="63">
        <v>15.28</v>
      </c>
      <c r="BQ51" s="63">
        <v>15.28</v>
      </c>
      <c r="BR51" s="63">
        <v>15.28</v>
      </c>
      <c r="BS51" s="63">
        <v>15.28</v>
      </c>
      <c r="BT51" s="63">
        <v>15.28</v>
      </c>
      <c r="BU51" s="63">
        <v>14.83</v>
      </c>
      <c r="BV51" s="63">
        <v>15.28</v>
      </c>
      <c r="BW51" s="63">
        <v>15.28</v>
      </c>
      <c r="BX51" s="63">
        <v>15.28</v>
      </c>
      <c r="BY51" s="63">
        <v>15.28</v>
      </c>
      <c r="BZ51" s="63">
        <v>15.28</v>
      </c>
      <c r="CA51" s="63">
        <v>15.8</v>
      </c>
      <c r="CB51" s="63">
        <v>15.8</v>
      </c>
      <c r="CC51" s="63">
        <v>15.8</v>
      </c>
      <c r="CD51" s="63">
        <v>15.8</v>
      </c>
      <c r="CE51" s="63">
        <v>15.8</v>
      </c>
      <c r="CF51" s="63">
        <v>15.8</v>
      </c>
      <c r="CG51" s="63">
        <v>15.8</v>
      </c>
      <c r="CH51" s="63">
        <v>15.9</v>
      </c>
      <c r="CI51" s="63">
        <v>15.2</v>
      </c>
    </row>
    <row r="52" spans="1:87" s="62" customFormat="1" x14ac:dyDescent="0.2">
      <c r="A52" s="67" t="s">
        <v>2352</v>
      </c>
      <c r="B52" s="68">
        <v>12.692285714285715</v>
      </c>
      <c r="C52" s="68">
        <v>12.692285714285715</v>
      </c>
      <c r="D52" s="68">
        <v>12.692285714285715</v>
      </c>
      <c r="E52" s="68">
        <v>12.692228571428572</v>
      </c>
      <c r="F52" s="68">
        <v>12.692228571428572</v>
      </c>
      <c r="G52" s="68">
        <v>12.692228571428572</v>
      </c>
      <c r="H52" s="68">
        <v>12.692228571428572</v>
      </c>
      <c r="I52" s="68">
        <v>12.692228571428572</v>
      </c>
      <c r="J52" s="68">
        <v>12.692228571428572</v>
      </c>
      <c r="K52" s="68">
        <v>12.40457142857143</v>
      </c>
      <c r="L52" s="68">
        <v>12.40457142857143</v>
      </c>
      <c r="M52" s="68">
        <v>12.40457142857143</v>
      </c>
      <c r="N52" s="68">
        <v>12.918171428571428</v>
      </c>
      <c r="O52" s="68">
        <v>13.052914285714285</v>
      </c>
      <c r="P52" s="68">
        <v>13.052914285714285</v>
      </c>
      <c r="Q52" s="68">
        <v>13.052914285714285</v>
      </c>
      <c r="R52" s="68">
        <v>13.052914285714285</v>
      </c>
      <c r="S52" s="68">
        <v>13.052914285714285</v>
      </c>
      <c r="T52" s="68">
        <v>13.052914285714285</v>
      </c>
      <c r="U52" s="68">
        <v>13.052914285714285</v>
      </c>
      <c r="V52" s="68">
        <v>13.052914285714285</v>
      </c>
      <c r="W52" s="68">
        <v>13.052914285714285</v>
      </c>
      <c r="X52" s="68">
        <v>12.793028571428573</v>
      </c>
      <c r="Y52" s="68">
        <v>12.793028571428573</v>
      </c>
      <c r="Z52" s="68">
        <v>13.118742857142859</v>
      </c>
      <c r="AA52" s="68">
        <v>13.119085714285715</v>
      </c>
      <c r="AB52" s="68">
        <v>13.119085714285715</v>
      </c>
      <c r="AC52" s="68">
        <v>13.238742857142856</v>
      </c>
      <c r="AD52" s="68">
        <v>13.238742857142856</v>
      </c>
      <c r="AE52" s="68">
        <v>13.238742857142856</v>
      </c>
      <c r="AF52" s="68">
        <v>13.238742857142856</v>
      </c>
      <c r="AG52" s="68">
        <v>13.238742857142856</v>
      </c>
      <c r="AH52" s="68">
        <v>13.239085714285716</v>
      </c>
      <c r="AI52" s="68">
        <v>13.171885714285716</v>
      </c>
      <c r="AJ52" s="68">
        <v>13.171885714285716</v>
      </c>
      <c r="AK52" s="68">
        <v>13.171885714285716</v>
      </c>
      <c r="AL52" s="68">
        <v>13.171885714285716</v>
      </c>
      <c r="AM52" s="68">
        <v>13.171885714285716</v>
      </c>
      <c r="AN52" s="68">
        <v>13.254514285714286</v>
      </c>
      <c r="AO52" s="68">
        <v>12.892457142857143</v>
      </c>
      <c r="AP52" s="68">
        <v>12.892457142857143</v>
      </c>
      <c r="AQ52" s="68">
        <v>12.892457142857143</v>
      </c>
      <c r="AR52" s="68">
        <v>13.515085714285714</v>
      </c>
      <c r="AS52" s="68">
        <v>13.515085714285714</v>
      </c>
      <c r="AT52" s="68">
        <v>13.515085714285714</v>
      </c>
      <c r="AU52" s="68">
        <v>13.515085714285714</v>
      </c>
      <c r="AV52" s="68">
        <v>13.5150857142857</v>
      </c>
      <c r="AW52" s="68">
        <v>13.5150857142857</v>
      </c>
      <c r="AX52" s="68">
        <v>13.324</v>
      </c>
      <c r="AY52" s="68">
        <v>13.508914285714287</v>
      </c>
      <c r="AZ52" s="68">
        <v>13.508914285714287</v>
      </c>
      <c r="BA52" s="68">
        <v>13.508914285714287</v>
      </c>
      <c r="BB52" s="68">
        <v>13.508914285714287</v>
      </c>
      <c r="BC52" s="68">
        <v>13.508914285714287</v>
      </c>
      <c r="BD52" s="68">
        <v>13.962514285714285</v>
      </c>
      <c r="BE52" s="68">
        <v>13.962514285714285</v>
      </c>
      <c r="BF52" s="68">
        <v>13.962514285714285</v>
      </c>
      <c r="BG52" s="68">
        <v>13.962514285714301</v>
      </c>
      <c r="BH52" s="68">
        <v>13.962514285714301</v>
      </c>
      <c r="BI52" s="68">
        <v>13.962514285714301</v>
      </c>
      <c r="BJ52" s="68">
        <v>14.77</v>
      </c>
      <c r="BK52" s="68">
        <v>14.77</v>
      </c>
      <c r="BL52" s="68">
        <v>14.77</v>
      </c>
      <c r="BM52" s="68">
        <v>14.77</v>
      </c>
      <c r="BN52" s="68">
        <v>14.77</v>
      </c>
      <c r="BO52" s="68">
        <v>14.77</v>
      </c>
      <c r="BP52" s="63">
        <v>14.77</v>
      </c>
      <c r="BQ52" s="63">
        <v>14.77</v>
      </c>
      <c r="BR52" s="63">
        <v>14.77</v>
      </c>
      <c r="BS52" s="63">
        <v>14.77</v>
      </c>
      <c r="BT52" s="63">
        <v>14.77</v>
      </c>
      <c r="BU52" s="63">
        <v>14.33</v>
      </c>
      <c r="BV52" s="63">
        <v>14.69</v>
      </c>
      <c r="BW52" s="63">
        <v>14.69</v>
      </c>
      <c r="BX52" s="63">
        <v>14.69</v>
      </c>
      <c r="BY52" s="63">
        <v>14.69</v>
      </c>
      <c r="BZ52" s="63">
        <v>14.69</v>
      </c>
      <c r="CA52" s="63">
        <v>15.41</v>
      </c>
      <c r="CB52" s="63">
        <v>15.41</v>
      </c>
      <c r="CC52" s="63">
        <v>15.41</v>
      </c>
      <c r="CD52" s="63">
        <v>15.41</v>
      </c>
      <c r="CE52" s="63">
        <v>15.41</v>
      </c>
      <c r="CF52" s="63">
        <v>15.49</v>
      </c>
      <c r="CG52" s="63">
        <v>15.49</v>
      </c>
      <c r="CH52" s="63">
        <v>15.53</v>
      </c>
      <c r="CI52" s="63">
        <v>16.05</v>
      </c>
    </row>
    <row r="53" spans="1:87" s="62" customFormat="1" x14ac:dyDescent="0.2">
      <c r="A53" s="67" t="s">
        <v>2353</v>
      </c>
      <c r="B53" s="68">
        <v>12.483428571428572</v>
      </c>
      <c r="C53" s="68">
        <v>12.483428571428572</v>
      </c>
      <c r="D53" s="68">
        <v>12.483428571428572</v>
      </c>
      <c r="E53" s="68">
        <v>12.483428571428572</v>
      </c>
      <c r="F53" s="68">
        <v>12.483428571428572</v>
      </c>
      <c r="G53" s="68">
        <v>12.483428571428572</v>
      </c>
      <c r="H53" s="68">
        <v>12.483428571428572</v>
      </c>
      <c r="I53" s="68">
        <v>12.483428571428572</v>
      </c>
      <c r="J53" s="68">
        <v>12.483428571428572</v>
      </c>
      <c r="K53" s="68">
        <v>12.534514285714286</v>
      </c>
      <c r="L53" s="68">
        <v>12.534514285714286</v>
      </c>
      <c r="M53" s="68">
        <v>12.534514285714286</v>
      </c>
      <c r="N53" s="68">
        <v>13.038514285714285</v>
      </c>
      <c r="O53" s="68">
        <v>12.980571428571428</v>
      </c>
      <c r="P53" s="68">
        <v>12.980571428571428</v>
      </c>
      <c r="Q53" s="68">
        <v>12.980571428571428</v>
      </c>
      <c r="R53" s="68">
        <v>12.980571428571428</v>
      </c>
      <c r="S53" s="68">
        <v>12.980571428571428</v>
      </c>
      <c r="T53" s="68">
        <v>12.980571428571428</v>
      </c>
      <c r="U53" s="68">
        <v>12.980571428571428</v>
      </c>
      <c r="V53" s="68">
        <v>12.980571428571428</v>
      </c>
      <c r="W53" s="68">
        <v>12.980571428571428</v>
      </c>
      <c r="X53" s="68">
        <v>12.615428571428572</v>
      </c>
      <c r="Y53" s="68">
        <v>12.615428571428572</v>
      </c>
      <c r="Z53" s="68">
        <v>12.941142857142857</v>
      </c>
      <c r="AA53" s="68">
        <v>12.941142857142857</v>
      </c>
      <c r="AB53" s="68">
        <v>12.941142857142857</v>
      </c>
      <c r="AC53" s="68">
        <v>13.0608</v>
      </c>
      <c r="AD53" s="68">
        <v>13.0608</v>
      </c>
      <c r="AE53" s="68">
        <v>13.0608</v>
      </c>
      <c r="AF53" s="68">
        <v>13.0608</v>
      </c>
      <c r="AG53" s="68">
        <v>13.0608</v>
      </c>
      <c r="AH53" s="68">
        <v>13.061142857142856</v>
      </c>
      <c r="AI53" s="68">
        <v>12.993942857142857</v>
      </c>
      <c r="AJ53" s="68">
        <v>12.993942857142857</v>
      </c>
      <c r="AK53" s="68">
        <v>12.993942857142857</v>
      </c>
      <c r="AL53" s="68">
        <v>12.993942857142857</v>
      </c>
      <c r="AM53" s="68">
        <v>12.652799999999999</v>
      </c>
      <c r="AN53" s="68">
        <v>12.652799999999999</v>
      </c>
      <c r="AO53" s="68">
        <v>12.652799999999999</v>
      </c>
      <c r="AP53" s="68">
        <v>12.652799999999999</v>
      </c>
      <c r="AQ53" s="68">
        <v>12.652799999999999</v>
      </c>
      <c r="AR53" s="68">
        <v>13.029257142857142</v>
      </c>
      <c r="AS53" s="68">
        <v>13.029257142857142</v>
      </c>
      <c r="AT53" s="68">
        <v>13.029257142857142</v>
      </c>
      <c r="AU53" s="68">
        <v>13.029257142857142</v>
      </c>
      <c r="AV53" s="68">
        <v>13.0292571428571</v>
      </c>
      <c r="AW53" s="68">
        <v>13.0292571428571</v>
      </c>
      <c r="AX53" s="68">
        <v>12.919714285714285</v>
      </c>
      <c r="AY53" s="68">
        <v>13.43382857142857</v>
      </c>
      <c r="AZ53" s="68">
        <v>13.43382857142857</v>
      </c>
      <c r="BA53" s="68">
        <v>13.43382857142857</v>
      </c>
      <c r="BB53" s="68">
        <v>13.43382857142857</v>
      </c>
      <c r="BC53" s="68">
        <v>13.43382857142857</v>
      </c>
      <c r="BD53" s="68">
        <v>13.402285714285714</v>
      </c>
      <c r="BE53" s="68">
        <v>13.402285714285714</v>
      </c>
      <c r="BF53" s="68">
        <v>13.402285714285714</v>
      </c>
      <c r="BG53" s="68">
        <v>13.4022857142857</v>
      </c>
      <c r="BH53" s="68">
        <v>13.4022857142857</v>
      </c>
      <c r="BI53" s="68">
        <v>13.4022857142857</v>
      </c>
      <c r="BJ53" s="68">
        <v>13.89</v>
      </c>
      <c r="BK53" s="68">
        <v>13.89</v>
      </c>
      <c r="BL53" s="68">
        <v>13.89</v>
      </c>
      <c r="BM53" s="68">
        <v>13.89</v>
      </c>
      <c r="BN53" s="68">
        <v>13.89</v>
      </c>
      <c r="BO53" s="68">
        <v>13.89</v>
      </c>
      <c r="BP53" s="63">
        <v>13.89</v>
      </c>
      <c r="BQ53" s="63">
        <v>13.89</v>
      </c>
      <c r="BR53" s="63">
        <v>13.89</v>
      </c>
      <c r="BS53" s="63">
        <v>13.89</v>
      </c>
      <c r="BT53" s="63">
        <v>13.89</v>
      </c>
      <c r="BU53" s="63">
        <v>13.44</v>
      </c>
      <c r="BV53" s="63">
        <v>13.77</v>
      </c>
      <c r="BW53" s="63">
        <v>13.77</v>
      </c>
      <c r="BX53" s="63">
        <v>13.77</v>
      </c>
      <c r="BY53" s="63">
        <v>13.77</v>
      </c>
      <c r="BZ53" s="63">
        <v>13.77</v>
      </c>
      <c r="CA53" s="63">
        <v>14.49</v>
      </c>
      <c r="CB53" s="63">
        <v>14.49</v>
      </c>
      <c r="CC53" s="63">
        <v>14.49</v>
      </c>
      <c r="CD53" s="63">
        <v>14.49</v>
      </c>
      <c r="CE53" s="63">
        <v>14.49</v>
      </c>
      <c r="CF53" s="63">
        <v>14.57</v>
      </c>
      <c r="CG53" s="63">
        <v>14.57</v>
      </c>
      <c r="CH53" s="63">
        <v>14.76</v>
      </c>
      <c r="CI53" s="63">
        <v>14.76</v>
      </c>
    </row>
    <row r="54" spans="1:87" s="62" customFormat="1" x14ac:dyDescent="0.2">
      <c r="A54" s="67" t="s">
        <v>2354</v>
      </c>
      <c r="B54" s="68">
        <v>15.605142857142855</v>
      </c>
      <c r="C54" s="68">
        <v>15.605142857142855</v>
      </c>
      <c r="D54" s="68">
        <v>15.605142857142855</v>
      </c>
      <c r="E54" s="68">
        <v>15.605485714285715</v>
      </c>
      <c r="F54" s="68">
        <v>15.605485714285715</v>
      </c>
      <c r="G54" s="68">
        <v>15.605485714285715</v>
      </c>
      <c r="H54" s="68">
        <v>15.605485714285715</v>
      </c>
      <c r="I54" s="68">
        <v>15.605485714285715</v>
      </c>
      <c r="J54" s="68">
        <v>15.605142857142855</v>
      </c>
      <c r="K54" s="68">
        <v>15.776571428571428</v>
      </c>
      <c r="L54" s="68">
        <v>15.776571428571428</v>
      </c>
      <c r="M54" s="68">
        <v>15.776571428571428</v>
      </c>
      <c r="N54" s="68">
        <v>15.936342857142856</v>
      </c>
      <c r="O54" s="68">
        <v>15.878400000000001</v>
      </c>
      <c r="P54" s="68">
        <v>15.878400000000001</v>
      </c>
      <c r="Q54" s="68">
        <v>15.878400000000001</v>
      </c>
      <c r="R54" s="68">
        <v>15.878400000000001</v>
      </c>
      <c r="S54" s="68">
        <v>15.878400000000001</v>
      </c>
      <c r="T54" s="68">
        <v>15.878400000000001</v>
      </c>
      <c r="U54" s="68">
        <v>15.878400000000001</v>
      </c>
      <c r="V54" s="68">
        <v>15.878400000000001</v>
      </c>
      <c r="W54" s="68">
        <v>15.878400000000001</v>
      </c>
      <c r="X54" s="68">
        <v>15.878400000000001</v>
      </c>
      <c r="Y54" s="68">
        <v>15.878400000000001</v>
      </c>
      <c r="Z54" s="68"/>
      <c r="AA54" s="68"/>
      <c r="AB54" s="68"/>
      <c r="AC54" s="68"/>
      <c r="AD54" s="68"/>
      <c r="AE54" s="68"/>
      <c r="AF54" s="68"/>
      <c r="AG54" s="68"/>
      <c r="AH54" s="68"/>
      <c r="AI54" s="68"/>
      <c r="AJ54" s="68"/>
      <c r="AK54" s="68"/>
      <c r="AL54" s="68"/>
      <c r="AM54" s="68"/>
      <c r="AN54" s="68"/>
      <c r="AO54" s="68"/>
      <c r="AP54" s="68"/>
      <c r="AQ54" s="68"/>
      <c r="AR54" s="68"/>
      <c r="AS54" s="68"/>
      <c r="AT54" s="68"/>
      <c r="AU54" s="68"/>
      <c r="AV54" s="68"/>
      <c r="AW54" s="68"/>
      <c r="AX54" s="68"/>
      <c r="AY54" s="68"/>
      <c r="AZ54" s="68"/>
      <c r="BA54" s="68"/>
      <c r="BB54" s="68"/>
      <c r="BC54" s="68"/>
      <c r="BD54" s="68"/>
      <c r="BE54" s="68"/>
      <c r="BF54" s="68"/>
      <c r="BG54" s="68"/>
      <c r="BH54" s="68"/>
      <c r="BI54" s="68"/>
      <c r="BJ54" s="68"/>
      <c r="BK54" s="68"/>
      <c r="BL54" s="68"/>
      <c r="BM54" s="68"/>
      <c r="BN54" s="68"/>
      <c r="BO54" s="68"/>
      <c r="BP54" s="63"/>
      <c r="BQ54" s="63"/>
      <c r="BR54" s="63"/>
      <c r="BS54" s="63"/>
      <c r="BT54" s="63"/>
      <c r="BU54" s="63"/>
      <c r="BV54" s="63"/>
      <c r="BW54" s="63"/>
      <c r="BX54" s="63"/>
      <c r="BY54" s="63"/>
      <c r="BZ54" s="63"/>
      <c r="CA54" s="63"/>
      <c r="CB54" s="63"/>
      <c r="CC54" s="63"/>
      <c r="CD54" s="63"/>
      <c r="CE54" s="63"/>
      <c r="CF54" s="63"/>
      <c r="CG54" s="63"/>
      <c r="CH54" s="63"/>
      <c r="CI54" s="63"/>
    </row>
    <row r="55" spans="1:87" s="62" customFormat="1" ht="12.75" x14ac:dyDescent="0.2">
      <c r="B55" s="69">
        <f t="shared" ref="B55:AG55" si="0">AVERAGE(B41:B54)</f>
        <v>14.653040816326527</v>
      </c>
      <c r="C55" s="69">
        <f t="shared" si="0"/>
        <v>14.660448979591834</v>
      </c>
      <c r="D55" s="69">
        <f t="shared" si="0"/>
        <v>14.667163265306119</v>
      </c>
      <c r="E55" s="69">
        <f t="shared" si="0"/>
        <v>14.547257142857145</v>
      </c>
      <c r="F55" s="69">
        <f t="shared" si="0"/>
        <v>14.43962448979592</v>
      </c>
      <c r="G55" s="69">
        <f t="shared" si="0"/>
        <v>14.399632653061227</v>
      </c>
      <c r="H55" s="69">
        <f t="shared" si="0"/>
        <v>14.391502040816325</v>
      </c>
      <c r="I55" s="69">
        <f t="shared" si="0"/>
        <v>14.41618775510204</v>
      </c>
      <c r="J55" s="69">
        <f t="shared" si="0"/>
        <v>14.417363265306124</v>
      </c>
      <c r="K55" s="69">
        <f t="shared" si="0"/>
        <v>14.429608163265311</v>
      </c>
      <c r="L55" s="69">
        <f t="shared" si="0"/>
        <v>14.429608163265311</v>
      </c>
      <c r="M55" s="69">
        <f t="shared" si="0"/>
        <v>14.429608163265311</v>
      </c>
      <c r="N55" s="69">
        <f t="shared" si="0"/>
        <v>14.722726530612245</v>
      </c>
      <c r="O55" s="69">
        <f t="shared" si="0"/>
        <v>14.679159183673468</v>
      </c>
      <c r="P55" s="69">
        <f t="shared" si="0"/>
        <v>14.699314285714285</v>
      </c>
      <c r="Q55" s="69">
        <f t="shared" si="0"/>
        <v>14.71545306122449</v>
      </c>
      <c r="R55" s="69">
        <f t="shared" si="0"/>
        <v>14.706636734693877</v>
      </c>
      <c r="S55" s="69">
        <f t="shared" si="0"/>
        <v>14.706636734693877</v>
      </c>
      <c r="T55" s="69">
        <f t="shared" si="0"/>
        <v>14.706636734693877</v>
      </c>
      <c r="U55" s="69">
        <f t="shared" si="0"/>
        <v>14.706636734693877</v>
      </c>
      <c r="V55" s="69">
        <f t="shared" si="0"/>
        <v>14.706636734693877</v>
      </c>
      <c r="W55" s="69">
        <f t="shared" si="0"/>
        <v>14.706636734693877</v>
      </c>
      <c r="X55" s="69">
        <f t="shared" si="0"/>
        <v>14.438253061224488</v>
      </c>
      <c r="Y55" s="69">
        <f t="shared" si="0"/>
        <v>14.438253061224488</v>
      </c>
      <c r="Z55" s="69">
        <f t="shared" si="0"/>
        <v>14.708228571428574</v>
      </c>
      <c r="AA55" s="69">
        <f t="shared" si="0"/>
        <v>14.708254945054948</v>
      </c>
      <c r="AB55" s="69">
        <f t="shared" si="0"/>
        <v>14.708254945054948</v>
      </c>
      <c r="AC55" s="69">
        <f t="shared" si="0"/>
        <v>14.827912087912088</v>
      </c>
      <c r="AD55" s="69">
        <f t="shared" si="0"/>
        <v>14.827912087912088</v>
      </c>
      <c r="AE55" s="69">
        <f t="shared" si="0"/>
        <v>14.827912087912088</v>
      </c>
      <c r="AF55" s="69">
        <f t="shared" si="0"/>
        <v>14.827912087912088</v>
      </c>
      <c r="AG55" s="69">
        <f t="shared" si="0"/>
        <v>14.827226373626372</v>
      </c>
      <c r="AH55" s="69">
        <f t="shared" ref="AH55:BM55" si="1">AVERAGE(AH41:AH54)</f>
        <v>14.827569230769235</v>
      </c>
      <c r="AI55" s="69">
        <f t="shared" si="1"/>
        <v>14.77563956043956</v>
      </c>
      <c r="AJ55" s="69">
        <f t="shared" si="1"/>
        <v>14.793942857142856</v>
      </c>
      <c r="AK55" s="69">
        <f t="shared" si="1"/>
        <v>14.788773626373626</v>
      </c>
      <c r="AL55" s="69">
        <f t="shared" si="1"/>
        <v>14.788773626373626</v>
      </c>
      <c r="AM55" s="69">
        <f t="shared" si="1"/>
        <v>14.547870329670328</v>
      </c>
      <c r="AN55" s="69">
        <f t="shared" si="1"/>
        <v>14.545345054945056</v>
      </c>
      <c r="AO55" s="69">
        <f t="shared" si="1"/>
        <v>14.372782417582417</v>
      </c>
      <c r="AP55" s="69">
        <f t="shared" si="1"/>
        <v>14.372782417582417</v>
      </c>
      <c r="AQ55" s="69">
        <f t="shared" si="1"/>
        <v>14.062826373626361</v>
      </c>
      <c r="AR55" s="69">
        <f t="shared" si="1"/>
        <v>14.396043956043957</v>
      </c>
      <c r="AS55" s="69">
        <f t="shared" si="1"/>
        <v>14.396043956043957</v>
      </c>
      <c r="AT55" s="69">
        <f t="shared" si="1"/>
        <v>14.396043956043957</v>
      </c>
      <c r="AU55" s="69">
        <f t="shared" si="1"/>
        <v>14.396043956043957</v>
      </c>
      <c r="AV55" s="69">
        <f t="shared" si="1"/>
        <v>14.396043956043968</v>
      </c>
      <c r="AW55" s="69">
        <f t="shared" si="1"/>
        <v>14.396043956043968</v>
      </c>
      <c r="AX55" s="69">
        <f t="shared" si="1"/>
        <v>14.229296703296702</v>
      </c>
      <c r="AY55" s="69">
        <f t="shared" si="1"/>
        <v>14.734786813186812</v>
      </c>
      <c r="AZ55" s="69">
        <f t="shared" si="1"/>
        <v>14.734786813186812</v>
      </c>
      <c r="BA55" s="69">
        <f t="shared" si="1"/>
        <v>14.734786813186812</v>
      </c>
      <c r="BB55" s="69">
        <f t="shared" si="1"/>
        <v>14.734786813186812</v>
      </c>
      <c r="BC55" s="69">
        <f t="shared" si="1"/>
        <v>14.734786813186812</v>
      </c>
      <c r="BD55" s="69">
        <f t="shared" si="1"/>
        <v>14.693723076923078</v>
      </c>
      <c r="BE55" s="69">
        <f t="shared" si="1"/>
        <v>14.693723076923078</v>
      </c>
      <c r="BF55" s="69">
        <f t="shared" si="1"/>
        <v>14.693723076923078</v>
      </c>
      <c r="BG55" s="69">
        <f t="shared" si="1"/>
        <v>14.693723076923087</v>
      </c>
      <c r="BH55" s="69">
        <f t="shared" si="1"/>
        <v>14.693723076923087</v>
      </c>
      <c r="BI55" s="69">
        <f t="shared" si="1"/>
        <v>14.69372307692309</v>
      </c>
      <c r="BJ55" s="69">
        <f t="shared" si="1"/>
        <v>15.801362637362637</v>
      </c>
      <c r="BK55" s="69">
        <f t="shared" si="1"/>
        <v>15.801362637362637</v>
      </c>
      <c r="BL55" s="69">
        <f t="shared" si="1"/>
        <v>15.801362637362637</v>
      </c>
      <c r="BM55" s="69">
        <f t="shared" si="1"/>
        <v>15.801362637362637</v>
      </c>
      <c r="BN55" s="69">
        <f t="shared" ref="BN55:CI55" si="2">AVERAGE(BN41:BN54)</f>
        <v>15.801362637362637</v>
      </c>
      <c r="BO55" s="69">
        <f t="shared" si="2"/>
        <v>15.801362637362637</v>
      </c>
      <c r="BP55" s="69">
        <f t="shared" si="2"/>
        <v>15.801538461538463</v>
      </c>
      <c r="BQ55" s="69">
        <f t="shared" si="2"/>
        <v>15.801538461538463</v>
      </c>
      <c r="BR55" s="69">
        <f t="shared" si="2"/>
        <v>15.801538461538463</v>
      </c>
      <c r="BS55" s="69">
        <f t="shared" si="2"/>
        <v>15.801538461538463</v>
      </c>
      <c r="BT55" s="69">
        <f t="shared" si="2"/>
        <v>15.801538461538463</v>
      </c>
      <c r="BU55" s="69">
        <f t="shared" si="2"/>
        <v>15.357692307692311</v>
      </c>
      <c r="BV55" s="69">
        <f t="shared" si="2"/>
        <v>15.75</v>
      </c>
      <c r="BW55" s="69">
        <f t="shared" si="2"/>
        <v>15.75</v>
      </c>
      <c r="BX55" s="69">
        <f t="shared" si="2"/>
        <v>15.75</v>
      </c>
      <c r="BY55" s="69">
        <f t="shared" si="2"/>
        <v>15.75</v>
      </c>
      <c r="BZ55" s="69">
        <f t="shared" si="2"/>
        <v>15.75</v>
      </c>
      <c r="CA55" s="69">
        <f t="shared" si="2"/>
        <v>16.454615384615384</v>
      </c>
      <c r="CB55" s="69">
        <f t="shared" si="2"/>
        <v>16.454615384615384</v>
      </c>
      <c r="CC55" s="69">
        <f t="shared" si="2"/>
        <v>16.454615384615384</v>
      </c>
      <c r="CD55" s="69">
        <f t="shared" si="2"/>
        <v>16.454615384615384</v>
      </c>
      <c r="CE55" s="69">
        <f t="shared" si="2"/>
        <v>16.454615384615384</v>
      </c>
      <c r="CF55" s="69">
        <f t="shared" si="2"/>
        <v>16.424615384615386</v>
      </c>
      <c r="CG55" s="69">
        <f t="shared" si="2"/>
        <v>16.437692307692313</v>
      </c>
      <c r="CH55" s="69">
        <f t="shared" si="2"/>
        <v>16.411538461538463</v>
      </c>
      <c r="CI55" s="69">
        <f t="shared" si="2"/>
        <v>16.013846153846156</v>
      </c>
    </row>
    <row r="92" spans="2:8" ht="13.7" customHeight="1" x14ac:dyDescent="0.2"/>
    <row r="94" spans="2:8" x14ac:dyDescent="0.2">
      <c r="B94" s="70" t="s">
        <v>2356</v>
      </c>
      <c r="C94" s="71"/>
      <c r="D94" s="71"/>
      <c r="E94" s="71"/>
      <c r="F94" s="71"/>
      <c r="G94" s="72">
        <f>CI55</f>
        <v>16.013846153846156</v>
      </c>
      <c r="H94" s="71" t="s">
        <v>2357</v>
      </c>
    </row>
    <row r="95" spans="2:8" x14ac:dyDescent="0.2">
      <c r="B95" s="70" t="s">
        <v>2358</v>
      </c>
      <c r="C95" s="71"/>
      <c r="D95" s="71"/>
      <c r="E95" s="71"/>
      <c r="F95" s="71"/>
      <c r="G95" s="71">
        <v>21.5</v>
      </c>
      <c r="H95" s="71" t="s">
        <v>2357</v>
      </c>
    </row>
    <row r="96" spans="2:8" x14ac:dyDescent="0.2">
      <c r="B96" s="70" t="s">
        <v>2360</v>
      </c>
      <c r="C96" s="71"/>
      <c r="D96" s="71"/>
      <c r="E96" s="71"/>
      <c r="F96" s="71"/>
      <c r="G96" s="71">
        <v>5.59</v>
      </c>
      <c r="H96" s="71" t="s">
        <v>2357</v>
      </c>
    </row>
    <row r="97" spans="1:8" x14ac:dyDescent="0.2">
      <c r="B97" s="71"/>
      <c r="C97" s="71"/>
      <c r="D97" s="71"/>
      <c r="E97" s="71"/>
      <c r="F97" s="71"/>
      <c r="G97" s="71"/>
      <c r="H97" s="71"/>
    </row>
    <row r="102" spans="1:8" ht="12.75" x14ac:dyDescent="0.2">
      <c r="A102" s="73">
        <f>$B$55*(1+(D102/100))^7</f>
        <v>16.26260280854213</v>
      </c>
      <c r="D102" s="71">
        <v>1.5</v>
      </c>
    </row>
    <row r="103" spans="1:8" ht="12.75" x14ac:dyDescent="0.2">
      <c r="A103" s="73" t="e">
        <f>Eingabe!$H$80*(1+(Eingabe!$H$107/100))^Berechnungen!#REF!</f>
        <v>#REF!</v>
      </c>
    </row>
    <row r="104" spans="1:8" ht="12.75" x14ac:dyDescent="0.2">
      <c r="A104" s="73" t="e">
        <f>Eingabe!$H$80*(1+(Eingabe!$H$107/100))^Berechnungen!#REF!</f>
        <v>#REF!</v>
      </c>
    </row>
    <row r="105" spans="1:8" ht="12.75" x14ac:dyDescent="0.2">
      <c r="A105" s="73" t="e">
        <f>Eingabe!$H$80*(1+(Eingabe!$H$107/100))^Berechnungen!#REF!</f>
        <v>#REF!</v>
      </c>
    </row>
    <row r="106" spans="1:8" ht="12.75" x14ac:dyDescent="0.2">
      <c r="A106" s="73" t="e">
        <f>Eingabe!$H$80*(1+(Eingabe!$H$107/100))^Berechnungen!#REF!</f>
        <v>#REF!</v>
      </c>
    </row>
    <row r="107" spans="1:8" ht="12.75" x14ac:dyDescent="0.2">
      <c r="A107" s="73" t="e">
        <f>Eingabe!$H$80*(1+(Eingabe!$H$107/100))^Berechnungen!#REF!</f>
        <v>#REF!</v>
      </c>
    </row>
    <row r="108" spans="1:8" ht="12.75" x14ac:dyDescent="0.2">
      <c r="A108" s="73" t="e">
        <f>Eingabe!$H$80*(1+(Eingabe!$H$107/100))^Berechnungen!#REF!</f>
        <v>#REF!</v>
      </c>
    </row>
    <row r="109" spans="1:8" ht="12.75" x14ac:dyDescent="0.2">
      <c r="A109" s="73" t="e">
        <f>Eingabe!$H$80*(1+(Eingabe!$H$107/100))^Berechnungen!#REF!</f>
        <v>#REF!</v>
      </c>
    </row>
    <row r="110" spans="1:8" ht="12.75" x14ac:dyDescent="0.2">
      <c r="A110" s="73" t="e">
        <f>Eingabe!$H$80*(1+(Eingabe!$H$107/100))^Berechnungen!#REF!</f>
        <v>#REF!</v>
      </c>
    </row>
    <row r="111" spans="1:8" ht="12.75" x14ac:dyDescent="0.2">
      <c r="A111" s="73" t="e">
        <f>Eingabe!$H$80*(1+(Eingabe!$H$107/100))^Berechnungen!#REF!</f>
        <v>#REF!</v>
      </c>
    </row>
    <row r="112" spans="1:8" ht="12.75" x14ac:dyDescent="0.2">
      <c r="A112" s="73" t="e">
        <f>Eingabe!$H$80*(1+(Eingabe!$H$107/100))^Berechnungen!#REF!</f>
        <v>#REF!</v>
      </c>
    </row>
    <row r="113" spans="1:1" ht="12.75" x14ac:dyDescent="0.2">
      <c r="A113" s="73" t="e">
        <f>Eingabe!$H$80*(1+(Eingabe!$H$107/100))^Berechnungen!#REF!</f>
        <v>#REF!</v>
      </c>
    </row>
    <row r="114" spans="1:1" ht="12.75" x14ac:dyDescent="0.2">
      <c r="A114" s="73" t="e">
        <f>Eingabe!$H$80*(1+(Eingabe!$H$107/100))^Berechnungen!#REF!</f>
        <v>#REF!</v>
      </c>
    </row>
    <row r="115" spans="1:1" ht="12.75" x14ac:dyDescent="0.2">
      <c r="A115" s="73" t="e">
        <f>Eingabe!$H$80*(1+(Eingabe!$H$107/100))^Berechnungen!#REF!</f>
        <v>#REF!</v>
      </c>
    </row>
    <row r="116" spans="1:1" ht="12.75" x14ac:dyDescent="0.2">
      <c r="A116" s="73" t="e">
        <f>Eingabe!$H$80*(1+(Eingabe!$H$107/100))^Berechnungen!#REF!</f>
        <v>#REF!</v>
      </c>
    </row>
    <row r="117" spans="1:1" ht="12.75" x14ac:dyDescent="0.2">
      <c r="A117" s="73" t="e">
        <f>Eingabe!$H$80*(1+(Eingabe!$H$107/100))^Berechnungen!#REF!</f>
        <v>#REF!</v>
      </c>
    </row>
    <row r="118" spans="1:1" ht="12.75" x14ac:dyDescent="0.2">
      <c r="A118" s="73" t="e">
        <f>Eingabe!$H$80*(1+(Eingabe!$H$107/100))^Berechnungen!#REF!</f>
        <v>#REF!</v>
      </c>
    </row>
    <row r="119" spans="1:1" ht="12.75" x14ac:dyDescent="0.2">
      <c r="A119" s="73" t="e">
        <f>Eingabe!$H$80*(1+(Eingabe!$H$107/100))^Berechnungen!#REF!</f>
        <v>#REF!</v>
      </c>
    </row>
    <row r="120" spans="1:1" ht="12.75" x14ac:dyDescent="0.2">
      <c r="A120" s="73" t="e">
        <f>Eingabe!$H$80*(1+(Eingabe!$H$107/100))^Berechnungen!#REF!</f>
        <v>#REF!</v>
      </c>
    </row>
    <row r="121" spans="1:1" ht="12.75" x14ac:dyDescent="0.2">
      <c r="A121" s="73" t="e">
        <f>Eingabe!$H$80*(1+(Eingabe!$H$107/100))^Berechnungen!#REF!</f>
        <v>#REF!</v>
      </c>
    </row>
    <row r="122" spans="1:1" ht="12.75" x14ac:dyDescent="0.2">
      <c r="A122" s="73" t="e">
        <f>Eingabe!$H$80*(1+(Eingabe!$H$107/100))^Berechnungen!#REF!</f>
        <v>#REF!</v>
      </c>
    </row>
    <row r="123" spans="1:1" ht="12.75" x14ac:dyDescent="0.2">
      <c r="A123" s="73" t="e">
        <f>Eingabe!$H$80*(1+(Eingabe!$H$107/100))^Berechnungen!#REF!</f>
        <v>#REF!</v>
      </c>
    </row>
    <row r="124" spans="1:1" ht="12.75" x14ac:dyDescent="0.2">
      <c r="A124" s="73" t="e">
        <f>Eingabe!$H$80*(1+(Eingabe!$H$107/100))^Berechnungen!#REF!</f>
        <v>#REF!</v>
      </c>
    </row>
    <row r="125" spans="1:1" ht="12.75" x14ac:dyDescent="0.2">
      <c r="A125" s="73" t="e">
        <f>Eingabe!$H$80*(1+(Eingabe!$H$107/100))^Berechnungen!#REF!</f>
        <v>#REF!</v>
      </c>
    </row>
    <row r="126" spans="1:1" ht="12.75" x14ac:dyDescent="0.2">
      <c r="A126" s="73" t="e">
        <f>Eingabe!$H$80*(1+(Eingabe!$H$107/100))^Berechnungen!#REF!</f>
        <v>#REF!</v>
      </c>
    </row>
  </sheetData>
  <sheetProtection selectLockedCells="1"/>
  <mergeCells count="1">
    <mergeCell ref="E1:U1"/>
  </mergeCells>
  <phoneticPr fontId="0" type="noConversion"/>
  <hyperlinks>
    <hyperlink ref="E1" r:id="rId1" xr:uid="{00000000-0004-0000-0800-000000000000}"/>
  </hyperlinks>
  <pageMargins left="0.78740157480314965" right="0.78740157480314965" top="0.98425196850393704" bottom="0.98425196850393704" header="0.51181102362204722" footer="0.51181102362204722"/>
  <pageSetup paperSize="9" scale="50" orientation="landscape" horizontalDpi="4294967293" r:id="rId2"/>
  <headerFooter alignWithMargins="0">
    <oddFooter>&amp;R_x000D_&amp;1#&amp;"Arial"&amp;7&amp;K000000 Klassifizierung: Vertraulich/Confidential</oddFooter>
  </headerFooter>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31</vt:i4>
      </vt:variant>
    </vt:vector>
  </HeadingPairs>
  <TitlesOfParts>
    <vt:vector size="40" baseType="lpstr">
      <vt:lpstr>Aktualisierungen</vt:lpstr>
      <vt:lpstr>Erläuterungen</vt:lpstr>
      <vt:lpstr>Eingabe</vt:lpstr>
      <vt:lpstr>Ausrichtung</vt:lpstr>
      <vt:lpstr>Berechnungen</vt:lpstr>
      <vt:lpstr>Förderungen</vt:lpstr>
      <vt:lpstr>Wetterdaten</vt:lpstr>
      <vt:lpstr>PLZ-Zuordnung</vt:lpstr>
      <vt:lpstr>Strompreis</vt:lpstr>
      <vt:lpstr>Anlagenleistung</vt:lpstr>
      <vt:lpstr>Aktualisierungen!Druckbereich</vt:lpstr>
      <vt:lpstr>Ausrichtung!Druckbereich</vt:lpstr>
      <vt:lpstr>Berechnungen!Druckbereich</vt:lpstr>
      <vt:lpstr>Eingabe!Druckbereich</vt:lpstr>
      <vt:lpstr>Erläuterungen!Druckbereich</vt:lpstr>
      <vt:lpstr>Förderungen!Druckbereich</vt:lpstr>
      <vt:lpstr>'PLZ-Zuordnung'!Druckbereich</vt:lpstr>
      <vt:lpstr>Strompreis!Druckbereich</vt:lpstr>
      <vt:lpstr>Wetterdaten!Druckbereich</vt:lpstr>
      <vt:lpstr>EAGfoerderung</vt:lpstr>
      <vt:lpstr>EAGfoerderungMax</vt:lpstr>
      <vt:lpstr>EAGInvest</vt:lpstr>
      <vt:lpstr>GesamtkostenAnlage</vt:lpstr>
      <vt:lpstr>kWp</vt:lpstr>
      <vt:lpstr>Landesfoerderung</vt:lpstr>
      <vt:lpstr>modulKosten</vt:lpstr>
      <vt:lpstr>Aktualisierungen!OLE_LINK1</vt:lpstr>
      <vt:lpstr>Aktualisierungen!OLE_LINK15</vt:lpstr>
      <vt:lpstr>Förderungen!OLE_LINK17</vt:lpstr>
      <vt:lpstr>Aktualisierungen!OLE_LINK27</vt:lpstr>
      <vt:lpstr>Aktualisierungen!OLE_LINK3</vt:lpstr>
      <vt:lpstr>Erläuterungen!OLE_LINK3</vt:lpstr>
      <vt:lpstr>Erläuterungen!OLE_LINK38</vt:lpstr>
      <vt:lpstr>Erläuterungen!OLE_LINK4</vt:lpstr>
      <vt:lpstr>Erläuterungen!OLE_LINK42</vt:lpstr>
      <vt:lpstr>Erläuterungen!OLE_LINK44</vt:lpstr>
      <vt:lpstr>Erläuterungen!OLE_LINK51</vt:lpstr>
      <vt:lpstr>Erläuterungen!OLE_LINK8</vt:lpstr>
      <vt:lpstr>spezKosten</vt:lpstr>
      <vt:lpstr>wrKosten</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NEUHOFER Alexander</cp:lastModifiedBy>
  <cp:lastPrinted>2023-01-31T12:48:17Z</cp:lastPrinted>
  <dcterms:created xsi:type="dcterms:W3CDTF">1996-10-17T05:27:31Z</dcterms:created>
  <dcterms:modified xsi:type="dcterms:W3CDTF">2025-06-23T12:40:07Z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c702715-2a6d-4046-9297-e5006f1df174_Enabled">
    <vt:lpwstr>true</vt:lpwstr>
  </property>
  <property fmtid="{D5CDD505-2E9C-101B-9397-08002B2CF9AE}" pid="3" name="MSIP_Label_4c702715-2a6d-4046-9297-e5006f1df174_SetDate">
    <vt:lpwstr>2025-05-21T11:41:14Z</vt:lpwstr>
  </property>
  <property fmtid="{D5CDD505-2E9C-101B-9397-08002B2CF9AE}" pid="4" name="MSIP_Label_4c702715-2a6d-4046-9297-e5006f1df174_Method">
    <vt:lpwstr>Standard</vt:lpwstr>
  </property>
  <property fmtid="{D5CDD505-2E9C-101B-9397-08002B2CF9AE}" pid="5" name="MSIP_Label_4c702715-2a6d-4046-9297-e5006f1df174_Name">
    <vt:lpwstr>Vertraulich</vt:lpwstr>
  </property>
  <property fmtid="{D5CDD505-2E9C-101B-9397-08002B2CF9AE}" pid="6" name="MSIP_Label_4c702715-2a6d-4046-9297-e5006f1df174_SiteId">
    <vt:lpwstr>008ae55d-17d4-45aa-b610-52181f8f0f6c</vt:lpwstr>
  </property>
  <property fmtid="{D5CDD505-2E9C-101B-9397-08002B2CF9AE}" pid="7" name="MSIP_Label_4c702715-2a6d-4046-9297-e5006f1df174_ActionId">
    <vt:lpwstr>46309866-8544-4bca-8b9f-2b56474b5484</vt:lpwstr>
  </property>
  <property fmtid="{D5CDD505-2E9C-101B-9397-08002B2CF9AE}" pid="8" name="MSIP_Label_4c702715-2a6d-4046-9297-e5006f1df174_ContentBits">
    <vt:lpwstr>2</vt:lpwstr>
  </property>
</Properties>
</file>